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4915" windowHeight="12855"/>
  </bookViews>
  <sheets>
    <sheet name="SO01" sheetId="3" r:id="rId1"/>
    <sheet name="SO02" sheetId="4" r:id="rId2"/>
    <sheet name="SO03" sheetId="5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E25" i="3"/>
  <c r="E41" i="5" l="1"/>
  <c r="E40"/>
  <c r="E17"/>
  <c r="E14" l="1"/>
  <c r="I14" s="1"/>
  <c r="E12"/>
  <c r="I12" s="1"/>
  <c r="E6"/>
  <c r="E5"/>
  <c r="E4"/>
  <c r="E10"/>
  <c r="I10" s="1"/>
  <c r="I41"/>
  <c r="I38"/>
  <c r="E38"/>
  <c r="I37"/>
  <c r="E37"/>
  <c r="I36"/>
  <c r="E35"/>
  <c r="I35" s="1"/>
  <c r="E32"/>
  <c r="I32" s="1"/>
  <c r="E26"/>
  <c r="E25"/>
  <c r="E23"/>
  <c r="E22"/>
  <c r="I17"/>
  <c r="E15"/>
  <c r="I15" s="1"/>
  <c r="I13"/>
  <c r="E13"/>
  <c r="H11"/>
  <c r="I11" s="1"/>
  <c r="C31" i="4"/>
  <c r="C30"/>
  <c r="C28"/>
  <c r="C26"/>
  <c r="C24"/>
  <c r="C23"/>
  <c r="C21"/>
  <c r="C20"/>
  <c r="C17"/>
  <c r="C16"/>
  <c r="C13"/>
  <c r="C12"/>
  <c r="C10"/>
  <c r="C9"/>
  <c r="C7"/>
  <c r="C6"/>
  <c r="C4"/>
  <c r="C3"/>
  <c r="C18" s="1"/>
  <c r="I24" i="3"/>
  <c r="E24"/>
  <c r="I21"/>
  <c r="E20"/>
  <c r="I19"/>
  <c r="I18"/>
  <c r="I17"/>
  <c r="E16"/>
  <c r="I16" s="1"/>
  <c r="I15"/>
  <c r="E15"/>
  <c r="E14"/>
  <c r="E13"/>
  <c r="E10"/>
  <c r="E11" s="1"/>
  <c r="E9"/>
  <c r="E6"/>
  <c r="E4"/>
</calcChain>
</file>

<file path=xl/sharedStrings.xml><?xml version="1.0" encoding="utf-8"?>
<sst xmlns="http://schemas.openxmlformats.org/spreadsheetml/2006/main" count="256" uniqueCount="164">
  <si>
    <t>CELKOVÉ OBJEMY BOURACÍCH A VÝKOPOVÝCH PRACÍ</t>
  </si>
  <si>
    <t>POLOŽKA</t>
  </si>
  <si>
    <t>VÝPOČET</t>
  </si>
  <si>
    <t>VÝMĚRA</t>
  </si>
  <si>
    <t>MJ</t>
  </si>
  <si>
    <t>POZNÁMKA</t>
  </si>
  <si>
    <t>VÝKOP</t>
  </si>
  <si>
    <t>137+82+2.5+41</t>
  </si>
  <si>
    <t>uvažovaná tl. [m]</t>
  </si>
  <si>
    <t>1.8625*149.1</t>
  </si>
  <si>
    <t>1.05*149.1</t>
  </si>
  <si>
    <t>ks</t>
  </si>
  <si>
    <t>0.235*(0.5+1.2)</t>
  </si>
  <si>
    <t>m</t>
  </si>
  <si>
    <t>mobilní oplocení výšky min. 1.8 m</t>
  </si>
  <si>
    <t>(0.5+1.2)/0.2</t>
  </si>
  <si>
    <t>6.5+7.5</t>
  </si>
  <si>
    <t>Demolice základu zdi</t>
  </si>
  <si>
    <t>Demolice dříku zdi</t>
  </si>
  <si>
    <t>BOURÁNÍ ZDI</t>
  </si>
  <si>
    <t>PŘÍPRAVNÉ PRÁCE - DEMONTÁŽE, ODSTRANĚNÍ - v místě výkopu</t>
  </si>
  <si>
    <t>Odstranění stávajících obrub š. 150 mm</t>
  </si>
  <si>
    <t>Odstranění bet. lože (obruba š. 150 mm)</t>
  </si>
  <si>
    <t>Odstranění stávajících obrub š. 50 mm</t>
  </si>
  <si>
    <t>Odstranění bet. lože (obruba š. 50 mm)</t>
  </si>
  <si>
    <t>Odstranění bet. palisád</t>
  </si>
  <si>
    <t>Odstranění bet. lože u palisád</t>
  </si>
  <si>
    <t>Řezání asfaltového krytu tl. 60 mm</t>
  </si>
  <si>
    <t>Odstranění asfaltového krytu</t>
  </si>
  <si>
    <t>odstranění asfaltové vrstvy tl. 60 mm</t>
  </si>
  <si>
    <t>Odstranění kačírku tl. 100 mm</t>
  </si>
  <si>
    <t>Odstranění bet. podkladu pod asfaltem tl. 100 mm</t>
  </si>
  <si>
    <t>Odstranění zámkové dlažby - pojížděná</t>
  </si>
  <si>
    <t>tl. 80 mm - 200x100 mm</t>
  </si>
  <si>
    <t>Odstranění zámkové dlažby - pochozí</t>
  </si>
  <si>
    <t>tl. 60 mm - 300x300 mm</t>
  </si>
  <si>
    <t>Odstranění ornice tl. 100 mm</t>
  </si>
  <si>
    <t>Odstranění gumových rohoží tl. 20 mm</t>
  </si>
  <si>
    <t>Výkop</t>
  </si>
  <si>
    <t>DOPLŇUJÍCÍ POPIS</t>
  </si>
  <si>
    <t>průřezová plocha 0.235 m²</t>
  </si>
  <si>
    <t>průřezová plocha 0.04 m²</t>
  </si>
  <si>
    <t>průřezová plocha 0.06 m²</t>
  </si>
  <si>
    <t>tl. 60 mm - kost</t>
  </si>
  <si>
    <t>průřezová plocha 1.8625 m²</t>
  </si>
  <si>
    <t>průřezová plocha 1.05 m²</t>
  </si>
  <si>
    <t>odstranění palisád na ZÚ a KÚ (válec Ø200 mm, dl. 800 mm)</t>
  </si>
  <si>
    <t>PRÁCE SPOJENÉ S PŘÍSTUPEM NA STAVENIŠTĚ A PROVÁDĚNÍM STAVBY</t>
  </si>
  <si>
    <t>Oplocení staveniště</t>
  </si>
  <si>
    <t>Odstranění dešťové kanalizace</t>
  </si>
  <si>
    <t>odstranění včetně 6ks uličních vpustí</t>
  </si>
  <si>
    <t>Parkoviště - čištění (mechanicky, tlaková voda)</t>
  </si>
  <si>
    <t>dlažba tl. 80 mm; ložní vrstva tl. 40 mm, štěrkodrť tl. 150 + 200 mm</t>
  </si>
  <si>
    <t>obnova bet. zámkové dlažby v celé skladbě</t>
  </si>
  <si>
    <t>Obnova gumových rohoží</t>
  </si>
  <si>
    <t>41+71</t>
  </si>
  <si>
    <t>obnova gumových rohoží okolo prolézaček vč. skladby</t>
  </si>
  <si>
    <t>gumové rohože tl. 20 mm; pískové lože tl. 200 mm</t>
  </si>
  <si>
    <t>Obnova bet. zámkové dlažby okolo pískoviště</t>
  </si>
  <si>
    <t>bet. zámková dlažba tl. 60 mm; ložní vrstva tl. 30 mm, štěrkodrť tl. 150 mm</t>
  </si>
  <si>
    <t>Obnova hřiště - jemná štěrkodrť</t>
  </si>
  <si>
    <t>uložení vrstvy jemné štěrkodrti (fr. 2/4 mm) tl. 300 mm</t>
  </si>
  <si>
    <t>Obnova asf. hřiště</t>
  </si>
  <si>
    <t>obnova asf. hřiště v celé skladbě</t>
  </si>
  <si>
    <t>Obnova chodníku - zámková dlažba tl. 60 mm</t>
  </si>
  <si>
    <t>Parkovací plocha - zámková dlažba tl. 80 mm</t>
  </si>
  <si>
    <t>obnova dlažby 300x300  tl. 60 mm v celé skladbě</t>
  </si>
  <si>
    <t>obnova bet. zámkové dlažby (kost) v celé skladbě</t>
  </si>
  <si>
    <t>Obnova asf. chodníku</t>
  </si>
  <si>
    <t>obnova asf. chodníku v celé skladbě</t>
  </si>
  <si>
    <t>asf. vrstva ACO 8CH tl. 40 mm; R-mat tl. 60 mm; štěrkodrť tl. 150 mm</t>
  </si>
  <si>
    <t>Ohumusování a zatravnění tl. 100 mm</t>
  </si>
  <si>
    <t>Parkoviště - oprava lokálních poruch - 30%</t>
  </si>
  <si>
    <t>0.3*329.5</t>
  </si>
  <si>
    <t>Obnova bet. palisád</t>
  </si>
  <si>
    <t>válec válec Ø200 mm, dl. 800 mm, bet. lože C20/25</t>
  </si>
  <si>
    <t>Obnova obrub š. 150 m</t>
  </si>
  <si>
    <t>silniční obruba 150x250x1000, lože C20/25</t>
  </si>
  <si>
    <t>Obnova obrub š. 50 m</t>
  </si>
  <si>
    <t>zahradní obruba 50x250x1000, lože C20/25</t>
  </si>
  <si>
    <t>tvarovky 400x200x200, na maltu + dř. obložení</t>
  </si>
  <si>
    <t>Odstranění ohraničení pískoviště - výška 400 mm</t>
  </si>
  <si>
    <t>3*0.4</t>
  </si>
  <si>
    <t>Obnova ohraničení pískoviště</t>
  </si>
  <si>
    <t>písek tl. 200 mm</t>
  </si>
  <si>
    <t>16.5*0.2</t>
  </si>
  <si>
    <t>Dočasný přesun prolézaček</t>
  </si>
  <si>
    <t>bourání železobetonu</t>
  </si>
  <si>
    <t>Dočasný přesun lavičky</t>
  </si>
  <si>
    <t>OBNOVA LINIOVÝCH PRVKŮ</t>
  </si>
  <si>
    <t>OBNOVA PLOCH</t>
  </si>
  <si>
    <t>OPATŘENÍ PŘED ZAHÁJENÍM STAVBY</t>
  </si>
  <si>
    <t>OPATŘENÍ NA STÁVAJÍCÍM MOBILIÁŘI, HERNÍCH PRVCÍCH</t>
  </si>
  <si>
    <t>OPATŘENÍ NA STÁVAJÍCÍCH PLOCHÁCH DOTČENÝCH POJEZDEM PŘI PROVÁDĚNÍ PRACÍ</t>
  </si>
  <si>
    <t>Dočasné odstranění stávajícího oplocení (hřiště)</t>
  </si>
  <si>
    <t>Dočasné odstranění stávajícího oplocení</t>
  </si>
  <si>
    <t>dřevěné kůly Ø200 mm, nadz. výška 2.0 m</t>
  </si>
  <si>
    <t>betonové lože C20/25</t>
  </si>
  <si>
    <t>7.8+8.6</t>
  </si>
  <si>
    <t>(7.8+8.6)*0.235</t>
  </si>
  <si>
    <t>po odstranění zdi bude navráceno</t>
  </si>
  <si>
    <t>Asfaltové hříště - číštění (mechanicky, tlaková voda)</t>
  </si>
  <si>
    <t>Doplnění jemné štěrkodrti</t>
  </si>
  <si>
    <t>doplnění do pojížděné plochy - fr. 2/4 tl. 100 mm</t>
  </si>
  <si>
    <t>Asfaltové hříště - lokální oprava poruch - 30%</t>
  </si>
  <si>
    <t>0.3*162</t>
  </si>
  <si>
    <t>OBNOVA KONSTRUKCÍ</t>
  </si>
  <si>
    <t>Obnova dešťové kanalizace včetně 6ks UV</t>
  </si>
  <si>
    <r>
      <t>OBJEM [m</t>
    </r>
    <r>
      <rPr>
        <b/>
        <sz val="10"/>
        <color theme="1"/>
        <rFont val="Calibri"/>
        <family val="2"/>
        <charset val="238"/>
      </rPr>
      <t>³</t>
    </r>
    <r>
      <rPr>
        <b/>
        <sz val="10"/>
        <color theme="1"/>
        <rFont val="Calibri"/>
        <family val="2"/>
        <charset val="238"/>
        <scheme val="minor"/>
      </rPr>
      <t>]</t>
    </r>
  </si>
  <si>
    <r>
      <t>m</t>
    </r>
    <r>
      <rPr>
        <sz val="10"/>
        <color theme="1"/>
        <rFont val="Calibri"/>
        <family val="2"/>
        <charset val="238"/>
      </rPr>
      <t>³</t>
    </r>
  </si>
  <si>
    <r>
      <t>m</t>
    </r>
    <r>
      <rPr>
        <sz val="10"/>
        <color theme="1"/>
        <rFont val="Calibri"/>
        <family val="2"/>
        <charset val="238"/>
      </rPr>
      <t>²</t>
    </r>
  </si>
  <si>
    <t>OBNOVA POVRCHŮ A KONSTRUKCÍ NAD VÝKOPEM</t>
  </si>
  <si>
    <t>Zpětný zásyp</t>
  </si>
  <si>
    <t>m²</t>
  </si>
  <si>
    <t>Sejmutí a opětovné vrácení ornice tl. 100 mm</t>
  </si>
  <si>
    <t>sejmutí a obnovení ornice nad rámec výkopových prací - obnova po pojezdu</t>
  </si>
  <si>
    <t>Odstranění oplocení uchycené na zdi</t>
  </si>
  <si>
    <t>Obnovení oplocení hřiště</t>
  </si>
  <si>
    <t>6.5+7.5+36</t>
  </si>
  <si>
    <t>obnoveno + oplocení podél komunikace - nahrazení zdi</t>
  </si>
  <si>
    <t>ocelové sloupy + pletivo, výška 5.0 m</t>
  </si>
  <si>
    <t>oplocení v místě hřiště - ocelové konzoly dl. 3m, pletivo h 4 m</t>
  </si>
  <si>
    <t>bet. zámková dlažba tl. 40 mm; ložní vrstva tl. 30 mm, štěrkodrť tl. 150 mm</t>
  </si>
  <si>
    <t>Oplocení u houpačky a prolézačky</t>
  </si>
  <si>
    <t>ocelové sloupky 1.2 m + dřevěná výplň</t>
  </si>
  <si>
    <t>oplocení místo zbourané zdi</t>
  </si>
  <si>
    <t>asf. vrstva ACO 11 tl. 50 mm; R-mat tl. 50 mm; štěrkodrť tl. 200 mm</t>
  </si>
  <si>
    <t>Doplnění písku do pískoviště</t>
  </si>
  <si>
    <t>72*0.06</t>
  </si>
  <si>
    <t>206*0.04</t>
  </si>
  <si>
    <t>120+35</t>
  </si>
  <si>
    <t>70.5+42</t>
  </si>
  <si>
    <t>151+40+15+15.5</t>
  </si>
  <si>
    <t>v rámci SO 02</t>
  </si>
  <si>
    <t>701.04-objemy kcí</t>
  </si>
  <si>
    <t>SO 01 - BOURACÍ PRÁCE</t>
  </si>
  <si>
    <t>Dobětice - SO 02 - Nová úhlová zeď</t>
  </si>
  <si>
    <t>m3</t>
  </si>
  <si>
    <t>Podkladní beton - tl. 80 mm</t>
  </si>
  <si>
    <t>m2</t>
  </si>
  <si>
    <t>Základový práh - bednění a odbednění</t>
  </si>
  <si>
    <t>Základový práh - beton C30/37 - XF4, XC4, XD1</t>
  </si>
  <si>
    <t>Dřík zdi - bednění a odbednění</t>
  </si>
  <si>
    <t>Dřík zdi - beton C30/37 - XF4, XC4, XD1</t>
  </si>
  <si>
    <t>Římsa zdi - bednění a odbednění</t>
  </si>
  <si>
    <t>Římsa zdi - beton C30/37 - XF4,XC4,XD1</t>
  </si>
  <si>
    <t>Výztuž zdi</t>
  </si>
  <si>
    <t>t</t>
  </si>
  <si>
    <t xml:space="preserve">Zásyp - místním výkopkem </t>
  </si>
  <si>
    <t>Zásyp - místním výkopkem - v aktivní zóně</t>
  </si>
  <si>
    <t>Odvoz přebytku výkopku na skládku</t>
  </si>
  <si>
    <t>Těsnící folie - PEHD tl. 2 mm - svařovaná + 10% přesah</t>
  </si>
  <si>
    <t>Ochranná separační geotextilie - plošná hmotnost 600 g/m2</t>
  </si>
  <si>
    <t>Drenážní obsyp - frakce 32/63</t>
  </si>
  <si>
    <t>Separační geotextilie - plošná hmotnost 300 g/m2 + 10% překryv</t>
  </si>
  <si>
    <t>Drenážní trubka perforovaná PVC DN 80</t>
  </si>
  <si>
    <t xml:space="preserve">Odvodňovovací prostup - trubka PEHD DN 100 </t>
  </si>
  <si>
    <t>Penetrační + 2x asfaltový nátěr</t>
  </si>
  <si>
    <t>Dilatační spára - desky XPS tl. 30 mm</t>
  </si>
  <si>
    <t>Těsnící PP provazec + trvale pružný tmel (na bázi polyuretanu)</t>
  </si>
  <si>
    <t xml:space="preserve">Zábradlí - zámečnický výrobek, včetně osazení </t>
  </si>
  <si>
    <t>SO 03.2 - PRÁCE SPOJENÉ S PŘÍSTUPEM NA STAVENIŠTĚ A PROVÁDĚNÍM STAVBY</t>
  </si>
  <si>
    <t>SO 03.1 - OBNOVA POVRCHŮ A KONSTRUKCÍ PO VÝKOPU</t>
  </si>
  <si>
    <t>3+17+18+14.5+23+13.5+20.5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</si>
</sst>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i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Arial Blac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theme="0" tint="-0.24994659260841701"/>
      </right>
      <top style="thin">
        <color theme="0" tint="-0.24994659260841701"/>
      </top>
      <bottom style="thick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auto="1"/>
      </bottom>
      <diagonal/>
    </border>
    <border>
      <left style="thin">
        <color theme="0" tint="-0.24994659260841701"/>
      </left>
      <right style="thick">
        <color auto="1"/>
      </right>
      <top style="thin">
        <color theme="0" tint="-0.24994659260841701"/>
      </top>
      <bottom style="thick">
        <color auto="1"/>
      </bottom>
      <diagonal/>
    </border>
    <border>
      <left style="thick">
        <color auto="1"/>
      </left>
      <right style="thin">
        <color theme="0" tint="-0.24994659260841701"/>
      </right>
      <top/>
      <bottom style="thick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ck">
        <color auto="1"/>
      </bottom>
      <diagonal/>
    </border>
    <border>
      <left style="thin">
        <color theme="0" tint="-0.2499465926084170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ck">
        <color auto="1"/>
      </right>
      <top style="thin">
        <color theme="0" tint="-0.24994659260841701"/>
      </top>
      <bottom/>
      <diagonal/>
    </border>
    <border>
      <left style="thick">
        <color auto="1"/>
      </left>
      <right style="thin">
        <color theme="0" tint="-0.24994659260841701"/>
      </right>
      <top style="thick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ck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auto="1"/>
      </right>
      <top style="thick">
        <color auto="1"/>
      </top>
      <bottom style="thin">
        <color theme="0" tint="-0.24994659260841701"/>
      </bottom>
      <diagonal/>
    </border>
    <border>
      <left style="thick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auto="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50">
    <xf numFmtId="0" fontId="0" fillId="0" borderId="0" xfId="0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2" fontId="4" fillId="0" borderId="18" xfId="0" applyNumberFormat="1" applyFont="1" applyBorder="1" applyAlignment="1">
      <alignment horizontal="center" vertical="center"/>
    </xf>
    <xf numFmtId="2" fontId="4" fillId="0" borderId="18" xfId="0" applyNumberFormat="1" applyFont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center" vertical="center" wrapText="1"/>
    </xf>
    <xf numFmtId="0" fontId="7" fillId="0" borderId="17" xfId="0" applyFont="1" applyBorder="1"/>
    <xf numFmtId="0" fontId="7" fillId="0" borderId="18" xfId="0" applyFont="1" applyBorder="1"/>
    <xf numFmtId="2" fontId="7" fillId="0" borderId="18" xfId="0" applyNumberFormat="1" applyFont="1" applyBorder="1"/>
    <xf numFmtId="0" fontId="7" fillId="0" borderId="18" xfId="0" applyFont="1" applyBorder="1" applyAlignment="1">
      <alignment horizontal="center" vertical="center"/>
    </xf>
    <xf numFmtId="2" fontId="7" fillId="0" borderId="19" xfId="0" applyNumberFormat="1" applyFont="1" applyBorder="1"/>
    <xf numFmtId="0" fontId="7" fillId="0" borderId="18" xfId="0" applyFont="1" applyFill="1" applyBorder="1" applyAlignment="1">
      <alignment horizontal="center" vertical="center"/>
    </xf>
    <xf numFmtId="0" fontId="7" fillId="0" borderId="18" xfId="0" applyFont="1" applyFill="1" applyBorder="1"/>
    <xf numFmtId="0" fontId="7" fillId="0" borderId="17" xfId="0" applyFont="1" applyFill="1" applyBorder="1"/>
    <xf numFmtId="0" fontId="7" fillId="0" borderId="5" xfId="0" applyFont="1" applyBorder="1"/>
    <xf numFmtId="0" fontId="7" fillId="0" borderId="6" xfId="0" applyFont="1" applyBorder="1"/>
    <xf numFmtId="2" fontId="7" fillId="0" borderId="6" xfId="0" applyNumberFormat="1" applyFont="1" applyBorder="1"/>
    <xf numFmtId="0" fontId="7" fillId="0" borderId="6" xfId="0" applyFont="1" applyBorder="1" applyAlignment="1">
      <alignment horizontal="center" vertical="center"/>
    </xf>
    <xf numFmtId="2" fontId="7" fillId="0" borderId="7" xfId="0" applyNumberFormat="1" applyFont="1" applyBorder="1"/>
    <xf numFmtId="0" fontId="7" fillId="0" borderId="6" xfId="0" applyFont="1" applyFill="1" applyBorder="1"/>
    <xf numFmtId="0" fontId="7" fillId="0" borderId="11" xfId="0" applyFont="1" applyBorder="1"/>
    <xf numFmtId="0" fontId="7" fillId="0" borderId="12" xfId="0" applyFont="1" applyBorder="1"/>
    <xf numFmtId="2" fontId="7" fillId="0" borderId="12" xfId="0" applyNumberFormat="1" applyFont="1" applyBorder="1"/>
    <xf numFmtId="0" fontId="7" fillId="0" borderId="12" xfId="0" applyFont="1" applyFill="1" applyBorder="1"/>
    <xf numFmtId="2" fontId="7" fillId="0" borderId="13" xfId="0" applyNumberFormat="1" applyFont="1" applyBorder="1"/>
    <xf numFmtId="0" fontId="7" fillId="0" borderId="8" xfId="0" applyFont="1" applyBorder="1"/>
    <xf numFmtId="0" fontId="7" fillId="0" borderId="9" xfId="0" applyFont="1" applyBorder="1"/>
    <xf numFmtId="2" fontId="7" fillId="0" borderId="9" xfId="0" applyNumberFormat="1" applyFont="1" applyBorder="1"/>
    <xf numFmtId="0" fontId="7" fillId="0" borderId="9" xfId="0" applyFont="1" applyBorder="1" applyAlignment="1">
      <alignment horizontal="center" vertical="center"/>
    </xf>
    <xf numFmtId="0" fontId="7" fillId="0" borderId="9" xfId="0" applyFont="1" applyFill="1" applyBorder="1"/>
    <xf numFmtId="2" fontId="7" fillId="0" borderId="10" xfId="0" applyNumberFormat="1" applyFont="1" applyBorder="1"/>
    <xf numFmtId="0" fontId="0" fillId="3" borderId="0" xfId="0" applyFill="1"/>
    <xf numFmtId="0" fontId="0" fillId="0" borderId="0" xfId="0" applyFill="1"/>
    <xf numFmtId="0" fontId="2" fillId="0" borderId="0" xfId="0" applyFont="1"/>
    <xf numFmtId="2" fontId="0" fillId="3" borderId="0" xfId="0" applyNumberFormat="1" applyFill="1"/>
    <xf numFmtId="0" fontId="6" fillId="2" borderId="17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textRotation="90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textRotation="90"/>
    </xf>
    <xf numFmtId="0" fontId="9" fillId="0" borderId="2" xfId="0" applyFont="1" applyFill="1" applyBorder="1" applyAlignment="1">
      <alignment horizontal="center" vertical="center" textRotation="90"/>
    </xf>
    <xf numFmtId="0" fontId="9" fillId="0" borderId="3" xfId="0" applyFont="1" applyFill="1" applyBorder="1" applyAlignment="1">
      <alignment horizontal="center" vertical="center" textRotation="90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.128\Dobetice%20-%20zed\PD\Vymer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ymery"/>
      <sheetName val="Rezy"/>
    </sheetNames>
    <sheetDataSet>
      <sheetData sheetId="0"/>
      <sheetData sheetId="1">
        <row r="12">
          <cell r="F12">
            <v>1024.8646000000001</v>
          </cell>
          <cell r="I12">
            <v>399.54240000000004</v>
          </cell>
          <cell r="L12">
            <v>489.90680000000003</v>
          </cell>
          <cell r="O12">
            <v>71.826458000000002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workbookViewId="0">
      <selection activeCell="D29" sqref="D29"/>
    </sheetView>
  </sheetViews>
  <sheetFormatPr defaultRowHeight="15"/>
  <cols>
    <col min="1" max="1" width="4.28515625" customWidth="1"/>
    <col min="2" max="2" width="41.28515625" customWidth="1"/>
    <col min="3" max="3" width="50.5703125" customWidth="1"/>
    <col min="4" max="4" width="17" customWidth="1"/>
    <col min="5" max="5" width="8.42578125" customWidth="1"/>
    <col min="6" max="6" width="4.28515625" customWidth="1"/>
    <col min="7" max="7" width="59.7109375" customWidth="1"/>
    <col min="8" max="8" width="11.28515625" customWidth="1"/>
    <col min="9" max="9" width="7.85546875" customWidth="1"/>
  </cols>
  <sheetData>
    <row r="1" spans="1:10" ht="15.75" thickTop="1">
      <c r="A1" s="44" t="s">
        <v>135</v>
      </c>
      <c r="B1" s="41" t="s">
        <v>0</v>
      </c>
      <c r="C1" s="42"/>
      <c r="D1" s="42"/>
      <c r="E1" s="42"/>
      <c r="F1" s="42"/>
      <c r="G1" s="42"/>
      <c r="H1" s="42"/>
      <c r="I1" s="43"/>
    </row>
    <row r="2" spans="1:10" ht="25.5">
      <c r="A2" s="45"/>
      <c r="B2" s="3" t="s">
        <v>1</v>
      </c>
      <c r="C2" s="4" t="s">
        <v>39</v>
      </c>
      <c r="D2" s="4" t="s">
        <v>2</v>
      </c>
      <c r="E2" s="5" t="s">
        <v>3</v>
      </c>
      <c r="F2" s="4" t="s">
        <v>4</v>
      </c>
      <c r="G2" s="4" t="s">
        <v>5</v>
      </c>
      <c r="H2" s="6" t="s">
        <v>8</v>
      </c>
      <c r="I2" s="7" t="s">
        <v>108</v>
      </c>
      <c r="J2" s="1"/>
    </row>
    <row r="3" spans="1:10">
      <c r="A3" s="45"/>
      <c r="B3" s="37" t="s">
        <v>19</v>
      </c>
      <c r="C3" s="38"/>
      <c r="D3" s="38"/>
      <c r="E3" s="38"/>
      <c r="F3" s="38"/>
      <c r="G3" s="38"/>
      <c r="H3" s="38"/>
      <c r="I3" s="39"/>
    </row>
    <row r="4" spans="1:10">
      <c r="A4" s="45"/>
      <c r="B4" s="8" t="s">
        <v>17</v>
      </c>
      <c r="C4" s="9" t="s">
        <v>87</v>
      </c>
      <c r="D4" s="9" t="s">
        <v>9</v>
      </c>
      <c r="E4" s="10">
        <f>149.1*1.8625</f>
        <v>277.69875000000002</v>
      </c>
      <c r="F4" s="11" t="s">
        <v>109</v>
      </c>
      <c r="G4" s="9" t="s">
        <v>44</v>
      </c>
      <c r="H4" s="10"/>
      <c r="I4" s="12"/>
    </row>
    <row r="5" spans="1:10">
      <c r="A5" s="45"/>
      <c r="B5" s="8" t="s">
        <v>116</v>
      </c>
      <c r="C5" s="9" t="s">
        <v>121</v>
      </c>
      <c r="D5" s="9"/>
      <c r="E5" s="10">
        <v>36</v>
      </c>
      <c r="F5" s="11" t="s">
        <v>13</v>
      </c>
      <c r="G5" s="9"/>
      <c r="H5" s="10"/>
      <c r="I5" s="12"/>
    </row>
    <row r="6" spans="1:10">
      <c r="A6" s="45"/>
      <c r="B6" s="8" t="s">
        <v>18</v>
      </c>
      <c r="C6" s="9" t="s">
        <v>87</v>
      </c>
      <c r="D6" s="9" t="s">
        <v>10</v>
      </c>
      <c r="E6" s="10">
        <f>1.05*149.1</f>
        <v>156.55500000000001</v>
      </c>
      <c r="F6" s="11" t="s">
        <v>109</v>
      </c>
      <c r="G6" s="9" t="s">
        <v>45</v>
      </c>
      <c r="H6" s="10"/>
      <c r="I6" s="12"/>
    </row>
    <row r="7" spans="1:10">
      <c r="A7" s="45"/>
      <c r="B7" s="37" t="s">
        <v>20</v>
      </c>
      <c r="C7" s="38"/>
      <c r="D7" s="38"/>
      <c r="E7" s="38"/>
      <c r="F7" s="38"/>
      <c r="G7" s="38"/>
      <c r="H7" s="38"/>
      <c r="I7" s="39"/>
    </row>
    <row r="8" spans="1:10">
      <c r="A8" s="45"/>
      <c r="B8" s="8" t="s">
        <v>21</v>
      </c>
      <c r="C8" s="9"/>
      <c r="D8" s="9"/>
      <c r="E8" s="10">
        <v>72</v>
      </c>
      <c r="F8" s="11" t="s">
        <v>13</v>
      </c>
      <c r="G8" s="9"/>
      <c r="H8" s="10"/>
      <c r="I8" s="12"/>
      <c r="J8" s="33"/>
    </row>
    <row r="9" spans="1:10">
      <c r="A9" s="45"/>
      <c r="B9" s="8" t="s">
        <v>22</v>
      </c>
      <c r="C9" s="9"/>
      <c r="D9" s="9" t="s">
        <v>128</v>
      </c>
      <c r="E9" s="10">
        <f>E8*0.06</f>
        <v>4.32</v>
      </c>
      <c r="F9" s="11" t="s">
        <v>109</v>
      </c>
      <c r="G9" s="9" t="s">
        <v>42</v>
      </c>
      <c r="H9" s="10"/>
      <c r="I9" s="12"/>
      <c r="J9" s="33"/>
    </row>
    <row r="10" spans="1:10">
      <c r="A10" s="45"/>
      <c r="B10" s="8" t="s">
        <v>23</v>
      </c>
      <c r="C10" s="9"/>
      <c r="D10" s="9" t="s">
        <v>132</v>
      </c>
      <c r="E10" s="10">
        <f>151+40+15+15.5</f>
        <v>221.5</v>
      </c>
      <c r="F10" s="13" t="s">
        <v>13</v>
      </c>
      <c r="G10" s="9"/>
      <c r="H10" s="10"/>
      <c r="I10" s="12"/>
      <c r="J10" s="33"/>
    </row>
    <row r="11" spans="1:10">
      <c r="A11" s="45"/>
      <c r="B11" s="8" t="s">
        <v>24</v>
      </c>
      <c r="C11" s="9"/>
      <c r="D11" s="9" t="s">
        <v>129</v>
      </c>
      <c r="E11" s="10">
        <f>E10*0.04</f>
        <v>8.86</v>
      </c>
      <c r="F11" s="11" t="s">
        <v>109</v>
      </c>
      <c r="G11" s="9" t="s">
        <v>41</v>
      </c>
      <c r="H11" s="10"/>
      <c r="I11" s="12"/>
      <c r="J11" s="33"/>
    </row>
    <row r="12" spans="1:10">
      <c r="A12" s="45"/>
      <c r="B12" s="8" t="s">
        <v>25</v>
      </c>
      <c r="C12" s="9" t="s">
        <v>46</v>
      </c>
      <c r="D12" s="9" t="s">
        <v>15</v>
      </c>
      <c r="E12" s="10">
        <v>9</v>
      </c>
      <c r="F12" s="11" t="s">
        <v>11</v>
      </c>
      <c r="G12" s="9"/>
      <c r="H12" s="10"/>
      <c r="I12" s="12"/>
    </row>
    <row r="13" spans="1:10">
      <c r="A13" s="45"/>
      <c r="B13" s="8" t="s">
        <v>26</v>
      </c>
      <c r="C13" s="9"/>
      <c r="D13" s="14" t="s">
        <v>12</v>
      </c>
      <c r="E13" s="10">
        <f>0.235*(0.5+1.2)</f>
        <v>0.39949999999999997</v>
      </c>
      <c r="F13" s="11" t="s">
        <v>109</v>
      </c>
      <c r="G13" s="9" t="s">
        <v>40</v>
      </c>
      <c r="H13" s="10"/>
      <c r="I13" s="12"/>
      <c r="J13" s="33"/>
    </row>
    <row r="14" spans="1:10">
      <c r="A14" s="45"/>
      <c r="B14" s="8" t="s">
        <v>27</v>
      </c>
      <c r="C14" s="9"/>
      <c r="D14" s="14" t="s">
        <v>130</v>
      </c>
      <c r="E14" s="10">
        <f>120+35</f>
        <v>155</v>
      </c>
      <c r="F14" s="11" t="s">
        <v>13</v>
      </c>
      <c r="G14" s="9"/>
      <c r="H14" s="10"/>
      <c r="I14" s="12"/>
      <c r="J14" s="33"/>
    </row>
    <row r="15" spans="1:10">
      <c r="A15" s="45"/>
      <c r="B15" s="8" t="s">
        <v>28</v>
      </c>
      <c r="C15" s="9" t="s">
        <v>29</v>
      </c>
      <c r="D15" s="14" t="s">
        <v>131</v>
      </c>
      <c r="E15" s="10">
        <f>70.5+42</f>
        <v>112.5</v>
      </c>
      <c r="F15" s="11" t="s">
        <v>110</v>
      </c>
      <c r="G15" s="9"/>
      <c r="H15" s="10">
        <v>0.06</v>
      </c>
      <c r="I15" s="12">
        <f>E15*H15</f>
        <v>6.75</v>
      </c>
      <c r="J15" s="33"/>
    </row>
    <row r="16" spans="1:10">
      <c r="A16" s="45"/>
      <c r="B16" s="8" t="s">
        <v>31</v>
      </c>
      <c r="C16" s="9"/>
      <c r="D16" s="14" t="s">
        <v>131</v>
      </c>
      <c r="E16" s="10">
        <f>E15</f>
        <v>112.5</v>
      </c>
      <c r="F16" s="11" t="s">
        <v>110</v>
      </c>
      <c r="G16" s="9"/>
      <c r="H16" s="10">
        <v>0.1</v>
      </c>
      <c r="I16" s="12">
        <f t="shared" ref="I16:I24" si="0">E16*H16</f>
        <v>11.25</v>
      </c>
      <c r="J16" s="33"/>
    </row>
    <row r="17" spans="1:10">
      <c r="A17" s="45"/>
      <c r="B17" s="8" t="s">
        <v>32</v>
      </c>
      <c r="C17" s="9" t="s">
        <v>33</v>
      </c>
      <c r="D17" s="9"/>
      <c r="E17" s="10">
        <v>104</v>
      </c>
      <c r="F17" s="11" t="s">
        <v>110</v>
      </c>
      <c r="G17" s="9"/>
      <c r="H17" s="10">
        <v>0.08</v>
      </c>
      <c r="I17" s="12">
        <f t="shared" si="0"/>
        <v>8.32</v>
      </c>
      <c r="J17" s="33"/>
    </row>
    <row r="18" spans="1:10">
      <c r="A18" s="45"/>
      <c r="B18" s="8" t="s">
        <v>34</v>
      </c>
      <c r="C18" s="9" t="s">
        <v>43</v>
      </c>
      <c r="D18" s="9"/>
      <c r="E18" s="10">
        <v>17</v>
      </c>
      <c r="F18" s="11" t="s">
        <v>110</v>
      </c>
      <c r="G18" s="9"/>
      <c r="H18" s="10">
        <v>0.06</v>
      </c>
      <c r="I18" s="12">
        <f t="shared" si="0"/>
        <v>1.02</v>
      </c>
      <c r="J18" s="33"/>
    </row>
    <row r="19" spans="1:10">
      <c r="A19" s="45"/>
      <c r="B19" s="8" t="s">
        <v>34</v>
      </c>
      <c r="C19" s="9" t="s">
        <v>35</v>
      </c>
      <c r="D19" s="9"/>
      <c r="E19" s="10">
        <v>23.5</v>
      </c>
      <c r="F19" s="11" t="s">
        <v>110</v>
      </c>
      <c r="G19" s="9"/>
      <c r="H19" s="10">
        <v>0.06</v>
      </c>
      <c r="I19" s="12">
        <f t="shared" si="0"/>
        <v>1.41</v>
      </c>
      <c r="J19" s="34"/>
    </row>
    <row r="20" spans="1:10">
      <c r="A20" s="45"/>
      <c r="B20" s="15" t="s">
        <v>81</v>
      </c>
      <c r="C20" s="14" t="s">
        <v>80</v>
      </c>
      <c r="D20" s="9" t="s">
        <v>82</v>
      </c>
      <c r="E20" s="10">
        <f>3*0.4</f>
        <v>1.2000000000000002</v>
      </c>
      <c r="F20" s="11" t="s">
        <v>109</v>
      </c>
      <c r="G20" s="9"/>
      <c r="H20" s="10"/>
      <c r="I20" s="12"/>
    </row>
    <row r="21" spans="1:10">
      <c r="A21" s="45"/>
      <c r="B21" s="8" t="s">
        <v>30</v>
      </c>
      <c r="C21" s="9"/>
      <c r="D21" s="9"/>
      <c r="E21" s="10">
        <v>24.5</v>
      </c>
      <c r="F21" s="11" t="s">
        <v>110</v>
      </c>
      <c r="G21" s="9"/>
      <c r="H21" s="10">
        <v>0.1</v>
      </c>
      <c r="I21" s="12">
        <f t="shared" si="0"/>
        <v>2.4500000000000002</v>
      </c>
      <c r="J21" s="33"/>
    </row>
    <row r="22" spans="1:10">
      <c r="A22" s="45"/>
      <c r="B22" s="8" t="s">
        <v>49</v>
      </c>
      <c r="C22" s="9" t="s">
        <v>50</v>
      </c>
      <c r="D22" s="9"/>
      <c r="E22" s="10">
        <v>60</v>
      </c>
      <c r="F22" s="11" t="s">
        <v>13</v>
      </c>
      <c r="G22" s="11"/>
      <c r="H22" s="10"/>
      <c r="I22" s="12"/>
    </row>
    <row r="23" spans="1:10">
      <c r="A23" s="45"/>
      <c r="B23" s="37" t="s">
        <v>6</v>
      </c>
      <c r="C23" s="38"/>
      <c r="D23" s="38"/>
      <c r="E23" s="38"/>
      <c r="F23" s="38"/>
      <c r="G23" s="38"/>
      <c r="H23" s="38"/>
      <c r="I23" s="39"/>
    </row>
    <row r="24" spans="1:10">
      <c r="A24" s="45"/>
      <c r="B24" s="8" t="s">
        <v>36</v>
      </c>
      <c r="C24" s="9"/>
      <c r="D24" s="9" t="s">
        <v>7</v>
      </c>
      <c r="E24" s="10">
        <f>137+82+2.5+41</f>
        <v>262.5</v>
      </c>
      <c r="F24" s="11" t="s">
        <v>110</v>
      </c>
      <c r="G24" s="9"/>
      <c r="H24" s="10">
        <v>0.1</v>
      </c>
      <c r="I24" s="12">
        <f t="shared" si="0"/>
        <v>26.25</v>
      </c>
    </row>
    <row r="25" spans="1:10" ht="15.75" thickBot="1">
      <c r="A25" s="46"/>
      <c r="B25" s="16" t="s">
        <v>38</v>
      </c>
      <c r="C25" s="17"/>
      <c r="D25" s="17" t="s">
        <v>134</v>
      </c>
      <c r="E25" s="18">
        <f>701.04-I15-I16-I17-I18-I19-I21-I64-I24-E4</f>
        <v>365.8912499999999</v>
      </c>
      <c r="F25" s="19" t="s">
        <v>109</v>
      </c>
      <c r="G25" s="17"/>
      <c r="H25" s="18"/>
      <c r="I25" s="20"/>
      <c r="J25" s="33"/>
    </row>
    <row r="26" spans="1:10" ht="15.75" thickTop="1"/>
    <row r="30" spans="1:10">
      <c r="G30" s="2"/>
    </row>
    <row r="31" spans="1:10">
      <c r="G31" s="2"/>
    </row>
  </sheetData>
  <mergeCells count="5">
    <mergeCell ref="A1:A25"/>
    <mergeCell ref="B1:I1"/>
    <mergeCell ref="B3:I3"/>
    <mergeCell ref="B7:I7"/>
    <mergeCell ref="B23:I2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3"/>
  <sheetViews>
    <sheetView workbookViewId="0">
      <selection activeCell="C16" sqref="C16"/>
    </sheetView>
  </sheetViews>
  <sheetFormatPr defaultRowHeight="15"/>
  <cols>
    <col min="1" max="1" width="61.140625" customWidth="1"/>
  </cols>
  <sheetData>
    <row r="1" spans="1:3" ht="15.75">
      <c r="A1" s="35" t="s">
        <v>136</v>
      </c>
    </row>
    <row r="3" spans="1:3">
      <c r="A3" t="s">
        <v>38</v>
      </c>
      <c r="B3" t="s">
        <v>137</v>
      </c>
      <c r="C3" s="36">
        <f>[1]Rezy!F12-701.04</f>
        <v>323.82460000000015</v>
      </c>
    </row>
    <row r="4" spans="1:3">
      <c r="A4" t="s">
        <v>138</v>
      </c>
      <c r="B4" t="s">
        <v>139</v>
      </c>
      <c r="C4" s="2">
        <f>154.34*3.1</f>
        <v>478.45400000000001</v>
      </c>
    </row>
    <row r="5" spans="1:3">
      <c r="C5" s="2"/>
    </row>
    <row r="6" spans="1:3">
      <c r="A6" t="s">
        <v>140</v>
      </c>
      <c r="B6" t="s">
        <v>139</v>
      </c>
      <c r="C6" s="2">
        <f>154.34*1+(18*1.9*1)</f>
        <v>188.54</v>
      </c>
    </row>
    <row r="7" spans="1:3">
      <c r="A7" t="s">
        <v>141</v>
      </c>
      <c r="B7" t="s">
        <v>137</v>
      </c>
      <c r="C7" s="2">
        <f>149.1*1.9+3*1.9</f>
        <v>288.98999999999995</v>
      </c>
    </row>
    <row r="8" spans="1:3">
      <c r="C8" s="2"/>
    </row>
    <row r="9" spans="1:3">
      <c r="A9" t="s">
        <v>142</v>
      </c>
      <c r="B9" t="s">
        <v>139</v>
      </c>
      <c r="C9" s="2">
        <f>(9.12+305.25+1.98)*2+0.3*(1.85+2.32+2.29+2.25+2.22+2.19+2.15+2.12+2.08+2.05+2.02+1.98+1.95+1.92+1.86+1.78+1.7+1.65)</f>
        <v>643.61400000000003</v>
      </c>
    </row>
    <row r="10" spans="1:3">
      <c r="A10" t="s">
        <v>143</v>
      </c>
      <c r="B10" t="s">
        <v>137</v>
      </c>
      <c r="C10" s="2">
        <f>0.3*(9.12+305.25+1.98)</f>
        <v>94.905000000000001</v>
      </c>
    </row>
    <row r="11" spans="1:3">
      <c r="C11" s="2"/>
    </row>
    <row r="12" spans="1:3">
      <c r="A12" t="s">
        <v>144</v>
      </c>
      <c r="B12" t="s">
        <v>139</v>
      </c>
      <c r="C12" s="2">
        <f>(0.15+0.1+0.2)*154.5+18*0.07</f>
        <v>70.785000000000011</v>
      </c>
    </row>
    <row r="13" spans="1:3">
      <c r="A13" t="s">
        <v>145</v>
      </c>
      <c r="B13" t="s">
        <v>137</v>
      </c>
      <c r="C13" s="2">
        <f>0.07*154.34</f>
        <v>10.803800000000001</v>
      </c>
    </row>
    <row r="14" spans="1:3">
      <c r="A14" t="s">
        <v>146</v>
      </c>
      <c r="B14" t="s">
        <v>147</v>
      </c>
      <c r="C14">
        <v>34.344999999999999</v>
      </c>
    </row>
    <row r="16" spans="1:3">
      <c r="A16" t="s">
        <v>148</v>
      </c>
      <c r="B16" t="s">
        <v>137</v>
      </c>
      <c r="C16">
        <f>[1]Rezy!I12</f>
        <v>399.54240000000004</v>
      </c>
    </row>
    <row r="17" spans="1:3">
      <c r="A17" t="s">
        <v>149</v>
      </c>
      <c r="B17" t="s">
        <v>137</v>
      </c>
      <c r="C17">
        <f>[1]Rezy!L12</f>
        <v>489.90680000000003</v>
      </c>
    </row>
    <row r="18" spans="1:3">
      <c r="A18" t="s">
        <v>150</v>
      </c>
      <c r="B18" t="s">
        <v>137</v>
      </c>
      <c r="C18" s="2">
        <f>C3-C16-C17</f>
        <v>-565.62459999999987</v>
      </c>
    </row>
    <row r="19" spans="1:3">
      <c r="C19" s="2"/>
    </row>
    <row r="20" spans="1:3">
      <c r="A20" t="s">
        <v>151</v>
      </c>
      <c r="B20" t="s">
        <v>139</v>
      </c>
      <c r="C20" s="2">
        <f>3*154.34*1.1</f>
        <v>509.322</v>
      </c>
    </row>
    <row r="21" spans="1:3">
      <c r="A21" t="s">
        <v>152</v>
      </c>
      <c r="B21" t="s">
        <v>139</v>
      </c>
      <c r="C21" s="2">
        <f>C20*2</f>
        <v>1018.644</v>
      </c>
    </row>
    <row r="23" spans="1:3">
      <c r="A23" t="s">
        <v>153</v>
      </c>
      <c r="B23" t="s">
        <v>137</v>
      </c>
      <c r="C23">
        <f>[1]Rezy!O12</f>
        <v>71.826458000000002</v>
      </c>
    </row>
    <row r="24" spans="1:3">
      <c r="A24" t="s">
        <v>154</v>
      </c>
      <c r="B24" t="s">
        <v>139</v>
      </c>
      <c r="C24">
        <f>((2.95+3.08)*154.5)*1.1</f>
        <v>1024.7985000000001</v>
      </c>
    </row>
    <row r="25" spans="1:3">
      <c r="A25" t="s">
        <v>155</v>
      </c>
      <c r="B25" t="s">
        <v>13</v>
      </c>
      <c r="C25">
        <v>154.53</v>
      </c>
    </row>
    <row r="26" spans="1:3">
      <c r="A26" t="s">
        <v>156</v>
      </c>
      <c r="B26" t="s">
        <v>13</v>
      </c>
      <c r="C26">
        <f>0.5*35</f>
        <v>17.5</v>
      </c>
    </row>
    <row r="28" spans="1:3">
      <c r="A28" t="s">
        <v>157</v>
      </c>
      <c r="B28" t="s">
        <v>139</v>
      </c>
      <c r="C28">
        <f>(9.12+305.25+1.98)+(1.6+1.4)*154.34</f>
        <v>779.37</v>
      </c>
    </row>
    <row r="30" spans="1:3">
      <c r="A30" t="s">
        <v>158</v>
      </c>
      <c r="B30" t="s">
        <v>139</v>
      </c>
      <c r="C30">
        <f>1.9*0.4*16+0.3*(2.32+2.29+2.25+2.22+2.19+2.15+2.12+2.08+2.05+2.02+1.98+1.95+1.92+1.86+1.78+1.7)+0.07*17</f>
        <v>23.214000000000002</v>
      </c>
    </row>
    <row r="31" spans="1:3">
      <c r="A31" t="s">
        <v>159</v>
      </c>
      <c r="B31" t="s">
        <v>13</v>
      </c>
      <c r="C31">
        <f>(2.32+2.29+2.25+2.22+2.19+2.15+2.12+2.08+2.05+2.02+1.98+1.95+1.92+1.86+1.78+1.7)*2+(0.4+1.2+0.4+0.4+0.2+0.2+0.4)*17</f>
        <v>120.16000000000001</v>
      </c>
    </row>
    <row r="33" spans="1:3">
      <c r="A33" t="s">
        <v>160</v>
      </c>
      <c r="B33" t="s">
        <v>147</v>
      </c>
      <c r="C33">
        <v>5.0970000000000004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2"/>
  <sheetViews>
    <sheetView topLeftCell="A16" workbookViewId="0">
      <selection activeCell="M37" sqref="M37"/>
    </sheetView>
  </sheetViews>
  <sheetFormatPr defaultRowHeight="15"/>
  <cols>
    <col min="1" max="1" width="7.28515625" customWidth="1"/>
    <col min="2" max="2" width="41.28515625" customWidth="1"/>
    <col min="3" max="3" width="50.5703125" customWidth="1"/>
    <col min="4" max="4" width="17" customWidth="1"/>
    <col min="5" max="5" width="8.42578125" customWidth="1"/>
    <col min="6" max="6" width="4.28515625" customWidth="1"/>
    <col min="7" max="7" width="59.7109375" customWidth="1"/>
    <col min="8" max="8" width="11.28515625" customWidth="1"/>
    <col min="9" max="9" width="7.85546875" customWidth="1"/>
  </cols>
  <sheetData>
    <row r="1" spans="1:10" ht="15.75" thickTop="1">
      <c r="A1" s="47" t="s">
        <v>162</v>
      </c>
      <c r="B1" s="41" t="s">
        <v>111</v>
      </c>
      <c r="C1" s="42"/>
      <c r="D1" s="42"/>
      <c r="E1" s="42"/>
      <c r="F1" s="42"/>
      <c r="G1" s="42"/>
      <c r="H1" s="42"/>
      <c r="I1" s="43"/>
    </row>
    <row r="2" spans="1:10" ht="25.5">
      <c r="A2" s="48"/>
      <c r="B2" s="3" t="s">
        <v>1</v>
      </c>
      <c r="C2" s="4" t="s">
        <v>39</v>
      </c>
      <c r="D2" s="4" t="s">
        <v>2</v>
      </c>
      <c r="E2" s="5" t="s">
        <v>3</v>
      </c>
      <c r="F2" s="4" t="s">
        <v>4</v>
      </c>
      <c r="G2" s="4" t="s">
        <v>5</v>
      </c>
      <c r="H2" s="6" t="s">
        <v>8</v>
      </c>
      <c r="I2" s="7" t="s">
        <v>108</v>
      </c>
    </row>
    <row r="3" spans="1:10">
      <c r="A3" s="48"/>
      <c r="B3" s="37" t="s">
        <v>89</v>
      </c>
      <c r="C3" s="38"/>
      <c r="D3" s="38"/>
      <c r="E3" s="38"/>
      <c r="F3" s="38"/>
      <c r="G3" s="38"/>
      <c r="H3" s="38"/>
      <c r="I3" s="39"/>
    </row>
    <row r="4" spans="1:10">
      <c r="A4" s="48"/>
      <c r="B4" s="8" t="s">
        <v>74</v>
      </c>
      <c r="C4" s="9" t="s">
        <v>75</v>
      </c>
      <c r="D4" s="9"/>
      <c r="E4" s="10">
        <f>'SO01'!E12</f>
        <v>9</v>
      </c>
      <c r="F4" s="11" t="s">
        <v>11</v>
      </c>
      <c r="G4" s="9"/>
      <c r="H4" s="10"/>
      <c r="I4" s="12"/>
    </row>
    <row r="5" spans="1:10">
      <c r="A5" s="48"/>
      <c r="B5" s="8" t="s">
        <v>76</v>
      </c>
      <c r="C5" s="9" t="s">
        <v>77</v>
      </c>
      <c r="D5" s="9"/>
      <c r="E5" s="10">
        <f>'SO01'!E8</f>
        <v>72</v>
      </c>
      <c r="F5" s="11" t="s">
        <v>13</v>
      </c>
      <c r="G5" s="9"/>
      <c r="H5" s="10"/>
      <c r="I5" s="12"/>
      <c r="J5" s="33"/>
    </row>
    <row r="6" spans="1:10">
      <c r="A6" s="48"/>
      <c r="B6" s="8" t="s">
        <v>78</v>
      </c>
      <c r="C6" s="9" t="s">
        <v>79</v>
      </c>
      <c r="D6" s="9"/>
      <c r="E6" s="10">
        <f>'SO01'!E10</f>
        <v>221.5</v>
      </c>
      <c r="F6" s="11" t="s">
        <v>13</v>
      </c>
      <c r="G6" s="9"/>
      <c r="H6" s="10"/>
      <c r="I6" s="12"/>
      <c r="J6" s="33"/>
    </row>
    <row r="7" spans="1:10">
      <c r="A7" s="48"/>
      <c r="B7" s="37" t="s">
        <v>106</v>
      </c>
      <c r="C7" s="38"/>
      <c r="D7" s="38"/>
      <c r="E7" s="38"/>
      <c r="F7" s="38"/>
      <c r="G7" s="38"/>
      <c r="H7" s="38"/>
      <c r="I7" s="39"/>
    </row>
    <row r="8" spans="1:10">
      <c r="A8" s="48"/>
      <c r="B8" s="15" t="s">
        <v>107</v>
      </c>
      <c r="C8" s="14"/>
      <c r="D8" s="9"/>
      <c r="E8" s="10">
        <v>60</v>
      </c>
      <c r="F8" s="11" t="s">
        <v>13</v>
      </c>
      <c r="G8" s="9"/>
      <c r="H8" s="10"/>
      <c r="I8" s="12"/>
    </row>
    <row r="9" spans="1:10">
      <c r="A9" s="48"/>
      <c r="B9" s="37" t="s">
        <v>90</v>
      </c>
      <c r="C9" s="38"/>
      <c r="D9" s="38"/>
      <c r="E9" s="38"/>
      <c r="F9" s="38"/>
      <c r="G9" s="38"/>
      <c r="H9" s="38"/>
      <c r="I9" s="39"/>
    </row>
    <row r="10" spans="1:10">
      <c r="A10" s="48"/>
      <c r="B10" s="8" t="s">
        <v>65</v>
      </c>
      <c r="C10" s="9" t="s">
        <v>53</v>
      </c>
      <c r="D10" s="9"/>
      <c r="E10" s="10">
        <f>'SO01'!E17</f>
        <v>104</v>
      </c>
      <c r="F10" s="11" t="s">
        <v>110</v>
      </c>
      <c r="G10" s="9" t="s">
        <v>52</v>
      </c>
      <c r="H10" s="10">
        <v>0.47</v>
      </c>
      <c r="I10" s="12">
        <f>E10*H10</f>
        <v>48.879999999999995</v>
      </c>
      <c r="J10" s="33"/>
    </row>
    <row r="11" spans="1:10">
      <c r="A11" s="48"/>
      <c r="B11" s="8" t="s">
        <v>58</v>
      </c>
      <c r="C11" s="9" t="s">
        <v>66</v>
      </c>
      <c r="D11" s="9"/>
      <c r="E11" s="10">
        <v>23.5</v>
      </c>
      <c r="F11" s="11" t="s">
        <v>110</v>
      </c>
      <c r="G11" s="9" t="s">
        <v>122</v>
      </c>
      <c r="H11" s="10">
        <f>0.04+0.03+0.15</f>
        <v>0.22</v>
      </c>
      <c r="I11" s="12">
        <f t="shared" ref="I11:I17" si="0">E11*H11</f>
        <v>5.17</v>
      </c>
      <c r="J11" s="34"/>
    </row>
    <row r="12" spans="1:10">
      <c r="A12" s="48"/>
      <c r="B12" s="8" t="s">
        <v>60</v>
      </c>
      <c r="C12" s="9" t="s">
        <v>61</v>
      </c>
      <c r="D12" s="9"/>
      <c r="E12" s="10">
        <f>'SO01'!E21</f>
        <v>24.5</v>
      </c>
      <c r="F12" s="11" t="s">
        <v>110</v>
      </c>
      <c r="G12" s="9"/>
      <c r="H12" s="10">
        <v>0.3</v>
      </c>
      <c r="I12" s="12">
        <f t="shared" si="0"/>
        <v>7.35</v>
      </c>
      <c r="J12" s="33"/>
    </row>
    <row r="13" spans="1:10">
      <c r="A13" s="48"/>
      <c r="B13" s="8" t="s">
        <v>62</v>
      </c>
      <c r="C13" s="9" t="s">
        <v>63</v>
      </c>
      <c r="D13" s="9"/>
      <c r="E13" s="10">
        <f>70.5</f>
        <v>70.5</v>
      </c>
      <c r="F13" s="11" t="s">
        <v>110</v>
      </c>
      <c r="G13" s="14" t="s">
        <v>126</v>
      </c>
      <c r="H13" s="10">
        <v>0.3</v>
      </c>
      <c r="I13" s="12">
        <f t="shared" si="0"/>
        <v>21.15</v>
      </c>
      <c r="J13" s="33"/>
    </row>
    <row r="14" spans="1:10">
      <c r="A14" s="48"/>
      <c r="B14" s="8" t="s">
        <v>64</v>
      </c>
      <c r="C14" s="9" t="s">
        <v>67</v>
      </c>
      <c r="D14" s="14"/>
      <c r="E14" s="10">
        <f>'SO01'!E18</f>
        <v>17</v>
      </c>
      <c r="F14" s="11" t="s">
        <v>110</v>
      </c>
      <c r="G14" s="9" t="s">
        <v>59</v>
      </c>
      <c r="H14" s="10">
        <v>0.24</v>
      </c>
      <c r="I14" s="12">
        <f t="shared" si="0"/>
        <v>4.08</v>
      </c>
      <c r="J14" s="33"/>
    </row>
    <row r="15" spans="1:10">
      <c r="A15" s="48"/>
      <c r="B15" s="8" t="s">
        <v>68</v>
      </c>
      <c r="C15" s="9" t="s">
        <v>69</v>
      </c>
      <c r="D15" s="9"/>
      <c r="E15" s="10">
        <f>42</f>
        <v>42</v>
      </c>
      <c r="F15" s="11" t="s">
        <v>110</v>
      </c>
      <c r="G15" s="14" t="s">
        <v>70</v>
      </c>
      <c r="H15" s="10">
        <v>0.25</v>
      </c>
      <c r="I15" s="12">
        <f t="shared" si="0"/>
        <v>10.5</v>
      </c>
      <c r="J15" s="33"/>
    </row>
    <row r="16" spans="1:10">
      <c r="A16" s="48"/>
      <c r="B16" s="22" t="s">
        <v>112</v>
      </c>
      <c r="C16" s="23" t="s">
        <v>133</v>
      </c>
      <c r="D16" s="23"/>
      <c r="E16" s="24"/>
      <c r="F16" s="11"/>
      <c r="G16" s="25"/>
      <c r="H16" s="24"/>
      <c r="I16" s="26"/>
      <c r="J16" s="33"/>
    </row>
    <row r="17" spans="1:10" ht="15.75" thickBot="1">
      <c r="A17" s="49"/>
      <c r="B17" s="16" t="s">
        <v>71</v>
      </c>
      <c r="C17" s="17"/>
      <c r="D17" s="21"/>
      <c r="E17" s="18">
        <f>453-0.3*154.34</f>
        <v>406.69799999999998</v>
      </c>
      <c r="F17" s="19" t="s">
        <v>110</v>
      </c>
      <c r="G17" s="17"/>
      <c r="H17" s="18">
        <v>0.1</v>
      </c>
      <c r="I17" s="20">
        <f t="shared" si="0"/>
        <v>40.669800000000002</v>
      </c>
      <c r="J17" s="33"/>
    </row>
    <row r="18" spans="1:10" ht="16.5" thickTop="1" thickBot="1">
      <c r="A18" s="40"/>
      <c r="B18" s="40"/>
      <c r="C18" s="40"/>
      <c r="D18" s="40"/>
      <c r="E18" s="40"/>
      <c r="F18" s="40"/>
      <c r="G18" s="40"/>
      <c r="H18" s="40"/>
      <c r="I18" s="40"/>
    </row>
    <row r="19" spans="1:10" ht="15.75" thickTop="1">
      <c r="A19" s="47" t="s">
        <v>161</v>
      </c>
      <c r="B19" s="41" t="s">
        <v>47</v>
      </c>
      <c r="C19" s="42"/>
      <c r="D19" s="42"/>
      <c r="E19" s="42"/>
      <c r="F19" s="42"/>
      <c r="G19" s="42"/>
      <c r="H19" s="42"/>
      <c r="I19" s="43"/>
    </row>
    <row r="20" spans="1:10" ht="25.5">
      <c r="A20" s="48"/>
      <c r="B20" s="3" t="s">
        <v>1</v>
      </c>
      <c r="C20" s="4" t="s">
        <v>39</v>
      </c>
      <c r="D20" s="4" t="s">
        <v>2</v>
      </c>
      <c r="E20" s="5" t="s">
        <v>3</v>
      </c>
      <c r="F20" s="4" t="s">
        <v>4</v>
      </c>
      <c r="G20" s="4" t="s">
        <v>5</v>
      </c>
      <c r="H20" s="6" t="s">
        <v>8</v>
      </c>
      <c r="I20" s="7" t="s">
        <v>108</v>
      </c>
    </row>
    <row r="21" spans="1:10">
      <c r="A21" s="48"/>
      <c r="B21" s="37" t="s">
        <v>91</v>
      </c>
      <c r="C21" s="38"/>
      <c r="D21" s="38"/>
      <c r="E21" s="38"/>
      <c r="F21" s="38"/>
      <c r="G21" s="38"/>
      <c r="H21" s="38"/>
      <c r="I21" s="39"/>
    </row>
    <row r="22" spans="1:10">
      <c r="A22" s="48"/>
      <c r="B22" s="8" t="s">
        <v>94</v>
      </c>
      <c r="C22" s="9" t="s">
        <v>120</v>
      </c>
      <c r="D22" s="9" t="s">
        <v>16</v>
      </c>
      <c r="E22" s="10">
        <f>6.5+7.5</f>
        <v>14</v>
      </c>
      <c r="F22" s="11" t="s">
        <v>13</v>
      </c>
      <c r="G22" s="9" t="s">
        <v>100</v>
      </c>
      <c r="H22" s="10"/>
      <c r="I22" s="12"/>
    </row>
    <row r="23" spans="1:10">
      <c r="A23" s="48"/>
      <c r="B23" s="8" t="s">
        <v>117</v>
      </c>
      <c r="C23" s="9" t="s">
        <v>120</v>
      </c>
      <c r="D23" s="9" t="s">
        <v>118</v>
      </c>
      <c r="E23" s="10">
        <f>6.5+7.5+36</f>
        <v>50</v>
      </c>
      <c r="F23" s="11" t="s">
        <v>13</v>
      </c>
      <c r="G23" s="9" t="s">
        <v>119</v>
      </c>
      <c r="H23" s="10"/>
      <c r="I23" s="12"/>
    </row>
    <row r="24" spans="1:10">
      <c r="A24" s="48"/>
      <c r="B24" s="8" t="s">
        <v>123</v>
      </c>
      <c r="C24" s="9" t="s">
        <v>124</v>
      </c>
      <c r="D24" s="9"/>
      <c r="E24" s="10">
        <v>47</v>
      </c>
      <c r="F24" s="11" t="s">
        <v>13</v>
      </c>
      <c r="G24" s="9" t="s">
        <v>125</v>
      </c>
      <c r="H24" s="10"/>
      <c r="I24" s="12"/>
      <c r="J24" s="34"/>
    </row>
    <row r="25" spans="1:10">
      <c r="A25" s="48"/>
      <c r="B25" s="8" t="s">
        <v>95</v>
      </c>
      <c r="C25" s="9" t="s">
        <v>96</v>
      </c>
      <c r="D25" s="9" t="s">
        <v>98</v>
      </c>
      <c r="E25" s="10">
        <f>7.8+8.6</f>
        <v>16.399999999999999</v>
      </c>
      <c r="F25" s="11" t="s">
        <v>13</v>
      </c>
      <c r="G25" s="9" t="s">
        <v>100</v>
      </c>
      <c r="H25" s="10"/>
      <c r="I25" s="12"/>
      <c r="J25" s="34"/>
    </row>
    <row r="26" spans="1:10">
      <c r="A26" s="48"/>
      <c r="B26" s="8"/>
      <c r="C26" s="9" t="s">
        <v>97</v>
      </c>
      <c r="D26" s="9" t="s">
        <v>99</v>
      </c>
      <c r="E26" s="10">
        <f>E25*0.235</f>
        <v>3.8539999999999996</v>
      </c>
      <c r="F26" s="11" t="s">
        <v>109</v>
      </c>
      <c r="G26" s="9" t="s">
        <v>40</v>
      </c>
      <c r="H26" s="10"/>
      <c r="I26" s="12"/>
      <c r="J26" s="34"/>
    </row>
    <row r="27" spans="1:10">
      <c r="A27" s="48"/>
      <c r="B27" s="8" t="s">
        <v>48</v>
      </c>
      <c r="C27" s="9" t="s">
        <v>14</v>
      </c>
      <c r="D27" s="9"/>
      <c r="E27" s="10">
        <v>320</v>
      </c>
      <c r="F27" s="11" t="s">
        <v>13</v>
      </c>
      <c r="G27" s="9"/>
      <c r="H27" s="10"/>
      <c r="I27" s="12"/>
      <c r="J27" s="34"/>
    </row>
    <row r="28" spans="1:10">
      <c r="A28" s="48"/>
      <c r="B28" s="37" t="s">
        <v>92</v>
      </c>
      <c r="C28" s="38"/>
      <c r="D28" s="38"/>
      <c r="E28" s="38"/>
      <c r="F28" s="38"/>
      <c r="G28" s="38"/>
      <c r="H28" s="38"/>
      <c r="I28" s="39"/>
      <c r="J28" s="34"/>
    </row>
    <row r="29" spans="1:10">
      <c r="A29" s="48"/>
      <c r="B29" s="8" t="s">
        <v>88</v>
      </c>
      <c r="C29" s="9"/>
      <c r="D29" s="9"/>
      <c r="E29" s="10">
        <v>2</v>
      </c>
      <c r="F29" s="11" t="s">
        <v>11</v>
      </c>
      <c r="G29" s="9" t="s">
        <v>100</v>
      </c>
      <c r="H29" s="10"/>
      <c r="I29" s="12"/>
      <c r="J29" s="34"/>
    </row>
    <row r="30" spans="1:10">
      <c r="A30" s="48"/>
      <c r="B30" s="8" t="s">
        <v>86</v>
      </c>
      <c r="C30" s="9"/>
      <c r="D30" s="9"/>
      <c r="E30" s="10">
        <v>2</v>
      </c>
      <c r="F30" s="11" t="s">
        <v>11</v>
      </c>
      <c r="G30" s="9" t="s">
        <v>100</v>
      </c>
      <c r="H30" s="10"/>
      <c r="I30" s="12"/>
      <c r="J30" s="34"/>
    </row>
    <row r="31" spans="1:10">
      <c r="A31" s="48"/>
      <c r="B31" s="8" t="s">
        <v>83</v>
      </c>
      <c r="C31" s="14" t="s">
        <v>80</v>
      </c>
      <c r="D31" s="9"/>
      <c r="E31" s="10">
        <v>16.5</v>
      </c>
      <c r="F31" s="11" t="s">
        <v>13</v>
      </c>
      <c r="G31" s="9"/>
      <c r="H31" s="10"/>
      <c r="I31" s="12"/>
      <c r="J31" s="34"/>
    </row>
    <row r="32" spans="1:10">
      <c r="A32" s="48"/>
      <c r="B32" s="8" t="s">
        <v>127</v>
      </c>
      <c r="C32" s="14" t="s">
        <v>84</v>
      </c>
      <c r="D32" s="9" t="s">
        <v>85</v>
      </c>
      <c r="E32" s="10">
        <f>16.5*0.2</f>
        <v>3.3000000000000003</v>
      </c>
      <c r="F32" s="11" t="s">
        <v>109</v>
      </c>
      <c r="G32" s="9"/>
      <c r="H32" s="10">
        <v>0.2</v>
      </c>
      <c r="I32" s="12">
        <f t="shared" ref="I32" si="1">E32*H32</f>
        <v>0.66000000000000014</v>
      </c>
      <c r="J32" s="34"/>
    </row>
    <row r="33" spans="1:10">
      <c r="A33" s="48"/>
      <c r="B33" s="37" t="s">
        <v>93</v>
      </c>
      <c r="C33" s="38"/>
      <c r="D33" s="38"/>
      <c r="E33" s="38"/>
      <c r="F33" s="38"/>
      <c r="G33" s="38"/>
      <c r="H33" s="38"/>
      <c r="I33" s="39"/>
    </row>
    <row r="34" spans="1:10">
      <c r="A34" s="48"/>
      <c r="B34" s="8" t="s">
        <v>51</v>
      </c>
      <c r="C34" s="9"/>
      <c r="D34" s="9"/>
      <c r="E34" s="10">
        <v>286</v>
      </c>
      <c r="F34" s="11" t="s">
        <v>110</v>
      </c>
      <c r="G34" s="9"/>
      <c r="H34" s="10"/>
      <c r="I34" s="12"/>
      <c r="J34" s="33"/>
    </row>
    <row r="35" spans="1:10">
      <c r="A35" s="48"/>
      <c r="B35" s="8" t="s">
        <v>72</v>
      </c>
      <c r="C35" s="9"/>
      <c r="D35" s="9" t="s">
        <v>73</v>
      </c>
      <c r="E35" s="10">
        <f>E34*0.3</f>
        <v>85.8</v>
      </c>
      <c r="F35" s="11" t="s">
        <v>110</v>
      </c>
      <c r="G35" s="9" t="s">
        <v>52</v>
      </c>
      <c r="H35" s="10">
        <v>0.47</v>
      </c>
      <c r="I35" s="12">
        <f>E35*H35</f>
        <v>40.325999999999993</v>
      </c>
      <c r="J35" s="33"/>
    </row>
    <row r="36" spans="1:10">
      <c r="A36" s="48"/>
      <c r="B36" s="8" t="s">
        <v>102</v>
      </c>
      <c r="C36" s="9" t="s">
        <v>103</v>
      </c>
      <c r="D36" s="9"/>
      <c r="E36" s="10">
        <v>45.5</v>
      </c>
      <c r="F36" s="11" t="s">
        <v>110</v>
      </c>
      <c r="G36" s="9"/>
      <c r="H36" s="10">
        <v>0.1</v>
      </c>
      <c r="I36" s="12">
        <f>E36*H36</f>
        <v>4.55</v>
      </c>
      <c r="J36" s="33"/>
    </row>
    <row r="37" spans="1:10">
      <c r="A37" s="48"/>
      <c r="B37" s="8" t="s">
        <v>37</v>
      </c>
      <c r="C37" s="9"/>
      <c r="D37" s="9" t="s">
        <v>55</v>
      </c>
      <c r="E37" s="10">
        <f>41+71</f>
        <v>112</v>
      </c>
      <c r="F37" s="11" t="s">
        <v>110</v>
      </c>
      <c r="G37" s="9"/>
      <c r="H37" s="10">
        <v>0.02</v>
      </c>
      <c r="I37" s="12">
        <f t="shared" ref="I37:I38" si="2">E37*H37</f>
        <v>2.2400000000000002</v>
      </c>
      <c r="J37" s="34"/>
    </row>
    <row r="38" spans="1:10">
      <c r="A38" s="48"/>
      <c r="B38" s="8" t="s">
        <v>54</v>
      </c>
      <c r="C38" s="9" t="s">
        <v>56</v>
      </c>
      <c r="D38" s="9" t="s">
        <v>55</v>
      </c>
      <c r="E38" s="10">
        <f>41+71</f>
        <v>112</v>
      </c>
      <c r="F38" s="11" t="s">
        <v>110</v>
      </c>
      <c r="G38" s="9" t="s">
        <v>57</v>
      </c>
      <c r="H38" s="10">
        <v>0.22</v>
      </c>
      <c r="I38" s="12">
        <f t="shared" si="2"/>
        <v>24.64</v>
      </c>
    </row>
    <row r="39" spans="1:10">
      <c r="A39" s="48"/>
      <c r="B39" s="8" t="s">
        <v>101</v>
      </c>
      <c r="C39" s="9"/>
      <c r="D39" s="9"/>
      <c r="E39" s="10">
        <v>140</v>
      </c>
      <c r="F39" s="11" t="s">
        <v>110</v>
      </c>
      <c r="G39" s="14"/>
      <c r="H39" s="10"/>
      <c r="I39" s="12"/>
      <c r="J39" s="33"/>
    </row>
    <row r="40" spans="1:10">
      <c r="A40" s="48"/>
      <c r="B40" s="8" t="s">
        <v>104</v>
      </c>
      <c r="C40" s="9"/>
      <c r="D40" s="9" t="s">
        <v>105</v>
      </c>
      <c r="E40" s="10">
        <f>E39*0.3</f>
        <v>42</v>
      </c>
      <c r="F40" s="11" t="s">
        <v>113</v>
      </c>
      <c r="G40" s="14" t="s">
        <v>126</v>
      </c>
      <c r="H40" s="10">
        <v>0.3</v>
      </c>
      <c r="I40" s="12">
        <v>14.58</v>
      </c>
      <c r="J40" s="33"/>
    </row>
    <row r="41" spans="1:10" ht="15.75" thickBot="1">
      <c r="A41" s="49"/>
      <c r="B41" s="27" t="s">
        <v>114</v>
      </c>
      <c r="C41" s="28"/>
      <c r="D41" s="28" t="s">
        <v>163</v>
      </c>
      <c r="E41" s="29">
        <f>3+17+18+14.5+23+13.5+20.5</f>
        <v>109.5</v>
      </c>
      <c r="F41" s="30" t="s">
        <v>110</v>
      </c>
      <c r="G41" s="31" t="s">
        <v>115</v>
      </c>
      <c r="H41" s="29">
        <v>0.3</v>
      </c>
      <c r="I41" s="32">
        <f>E41*H41</f>
        <v>32.85</v>
      </c>
      <c r="J41" s="33"/>
    </row>
    <row r="42" spans="1:10" ht="15.75" thickTop="1"/>
  </sheetData>
  <mergeCells count="11">
    <mergeCell ref="A19:A41"/>
    <mergeCell ref="B19:I19"/>
    <mergeCell ref="B21:I21"/>
    <mergeCell ref="B28:I28"/>
    <mergeCell ref="B33:I33"/>
    <mergeCell ref="A18:I18"/>
    <mergeCell ref="A1:A17"/>
    <mergeCell ref="B1:I1"/>
    <mergeCell ref="B3:I3"/>
    <mergeCell ref="B7:I7"/>
    <mergeCell ref="B9:I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SO01</vt:lpstr>
      <vt:lpstr>SO02</vt:lpstr>
      <vt:lpstr>SO03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2020-05-13T06:11:59Z</cp:lastPrinted>
  <dcterms:created xsi:type="dcterms:W3CDTF">2020-05-06T07:16:11Z</dcterms:created>
  <dcterms:modified xsi:type="dcterms:W3CDTF">2020-08-26T12:46:06Z</dcterms:modified>
</cp:coreProperties>
</file>