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<sst xmlns="http://schemas.openxmlformats.org/spreadsheetml/2006/main" count="271" uniqueCount="152">
  <si>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</si>
  <si>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</si>
  <si>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</si>
  <si>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</si>
  <si>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</si>
  <si>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</si>
  <si>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</si>
  <si>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</si>
  <si>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</si>
  <si>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</si>
  <si>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</si>
  <si>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</si>
  <si>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</si>
  <si>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</si>
  <si>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</si>
  <si>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</si>
  <si>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</si>
  <si>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</si>
  <si>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</si>
  <si>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</si>
  <si>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Poznámka:</t>
  </si>
  <si>
    <t>Objekt</t>
  </si>
  <si>
    <t>Kód</t>
  </si>
  <si>
    <t>61</t>
  </si>
  <si>
    <t>612401391RT2</t>
  </si>
  <si>
    <t>612475111RT2</t>
  </si>
  <si>
    <t>784</t>
  </si>
  <si>
    <t>784191201R00</t>
  </si>
  <si>
    <t>784402801R00</t>
  </si>
  <si>
    <t>784165512R00</t>
  </si>
  <si>
    <t>784011111R00</t>
  </si>
  <si>
    <t>784011121R00</t>
  </si>
  <si>
    <t>784011211RT3</t>
  </si>
  <si>
    <t>784011921R00</t>
  </si>
  <si>
    <t>784498931R00</t>
  </si>
  <si>
    <t>784441050R00</t>
  </si>
  <si>
    <t>784441020R00</t>
  </si>
  <si>
    <t>H01</t>
  </si>
  <si>
    <t>998014021R00</t>
  </si>
  <si>
    <t>Zkrácený popis</t>
  </si>
  <si>
    <t>Rozměry</t>
  </si>
  <si>
    <t>Úprava povrchů vnitřní</t>
  </si>
  <si>
    <t>Omítka malých ploch vnitřních stěn do 1 m2</t>
  </si>
  <si>
    <t>Malby</t>
  </si>
  <si>
    <t>Odstranění malby oškrábáním v místnosti H do 3,8 m</t>
  </si>
  <si>
    <t>Oprášení/ometení podkladu</t>
  </si>
  <si>
    <t>Broušení štuků a nových omítek</t>
  </si>
  <si>
    <t>Olepování vnitřních ploch</t>
  </si>
  <si>
    <t>Příplatek, schodiště</t>
  </si>
  <si>
    <t>Tmelení trhlin v omítce š. do 4 mm akryl. tmelem</t>
  </si>
  <si>
    <t>Malba latexová 2x, 1barevná, schodiště v. do 3,8 m</t>
  </si>
  <si>
    <t>Budovy občanské výstavby</t>
  </si>
  <si>
    <t>Přesun hmot, budovy mont. vícepodl. s pláštěm, 18m</t>
  </si>
  <si>
    <t>Ostatní materiál</t>
  </si>
  <si>
    <t>MJ</t>
  </si>
  <si>
    <t>kus</t>
  </si>
  <si>
    <t>m2</t>
  </si>
  <si>
    <t>m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</si>
  <si>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</si>
  <si>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</si>
  <si>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</si>
  <si>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</si>
  <si>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</si>
  <si>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</si>
  <si>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</si>
  <si>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</si>
  <si>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</si>
  <si>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</si>
  <si>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</si>
  <si>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</si>
  <si>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</si>
  <si>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</si>
  <si>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</si>
  <si>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</si>
  <si>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 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</si>
  <si>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</si>
  <si>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</si>
  <si>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</si>
  <si>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</si>
  <si>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</si>
  <si>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</si>
  <si>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</si>
  <si>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</si>
  <si>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</si>
  <si>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</si>
  <si>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</si>
  <si>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</si>
  <si>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</si>
  <si>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</si>
  <si>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</si>
  <si>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784_</t>
  </si>
  <si>
    <t>H01_</t>
  </si>
  <si>
    <t>6_</t>
  </si>
  <si>
    <t>78_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</si>
  <si>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</si>
  <si>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</si>
  <si>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</si>
  <si>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</si>
  <si>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</si>
  <si>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</si>
  <si>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</si>
  <si>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</si>
  <si>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</si>
  <si>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</si>
  <si>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</si>
  <si>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</si>
  <si>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</si>
  <si>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</si>
  <si>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</si>
  <si>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</si>
  <si>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</si>
  <si>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</si>
  <si>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</si>
  <si>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</si>
  <si>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</si>
  <si>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</si>
  <si>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</si>
  <si>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</si>
  <si>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</si>
  <si>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</si>
  <si>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</si>
  <si>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</si>
  <si>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</si>
  <si>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</si>
  <si>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</si>
  <si>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</si>
  <si>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</si>
  <si>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</si>
  <si>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</si>
  <si>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</si>
  <si>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</si>
  <si>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</si>
  <si>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</si>
  <si>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</si>
  <si>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</si>
  <si>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</si>
  <si>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</si>
  <si>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</si>
  <si>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</si>
  <si>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</si>
  <si>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</si>
  <si>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</si>
  <si>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</si>
  <si>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</si>
  <si>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</si>
  <si>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MALEB</t>
  </si>
  <si>
    <t>Malba latexová 2x, 1barevná, zábradlí</t>
  </si>
  <si>
    <t>RTS I / 2022</t>
  </si>
  <si>
    <t>MŠ V ZELENI</t>
  </si>
  <si>
    <t>Omítka vnitřních stěn  vápenocem. jednovrstvá</t>
  </si>
  <si>
    <t>Malba tekutá bílá, bez penetrace, 2 x</t>
  </si>
  <si>
    <t>Penetrace podkladu hloubková, 1x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</si>
</sst>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 applyProtection="1">
      <alignment horizontal="right" vertical="center"/>
      <protection/>
    </xf>
    <xf numFmtId="49" fontId="7" fillId="33" borderId="2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7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9" fillId="34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0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11" fillId="0" borderId="29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0" fontId="7" fillId="33" borderId="1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49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47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S26" sqref="S26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43.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4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2.75">
      <c r="A2" s="85" t="s">
        <v>1</v>
      </c>
      <c r="B2" s="86"/>
      <c r="C2" s="86"/>
      <c r="D2" s="87" t="s">
        <v>145</v>
      </c>
      <c r="E2" s="60"/>
      <c r="F2" s="60"/>
      <c r="G2" s="89" t="s">
        <v>59</v>
      </c>
      <c r="H2" s="86"/>
      <c r="I2" s="89" t="s">
        <v>6</v>
      </c>
      <c r="J2" s="90" t="s">
        <v>69</v>
      </c>
      <c r="K2" s="89" t="s">
        <v>74</v>
      </c>
      <c r="L2" s="86"/>
      <c r="M2" s="86"/>
      <c r="N2" s="91"/>
      <c r="O2" s="29"/>
    </row>
    <row r="3" spans="1:15" ht="12.75">
      <c r="A3" s="82"/>
      <c r="B3" s="62"/>
      <c r="C3" s="62"/>
      <c r="D3" s="88"/>
      <c r="E3" s="88"/>
      <c r="F3" s="88"/>
      <c r="G3" s="62"/>
      <c r="H3" s="62"/>
      <c r="I3" s="62"/>
      <c r="J3" s="62"/>
      <c r="K3" s="62"/>
      <c r="L3" s="62"/>
      <c r="M3" s="62"/>
      <c r="N3" s="80"/>
      <c r="O3" s="29"/>
    </row>
    <row r="4" spans="1:15" ht="12.75">
      <c r="A4" s="76" t="s">
        <v>2</v>
      </c>
      <c r="B4" s="62"/>
      <c r="C4" s="62"/>
      <c r="D4" s="61" t="s">
        <v>148</v>
      </c>
      <c r="E4" s="62"/>
      <c r="F4" s="62"/>
      <c r="G4" s="79" t="s">
        <v>60</v>
      </c>
      <c r="H4" s="62"/>
      <c r="I4" s="79"/>
      <c r="J4" s="61" t="s">
        <v>70</v>
      </c>
      <c r="K4" s="79" t="s">
        <v>74</v>
      </c>
      <c r="L4" s="62"/>
      <c r="M4" s="62"/>
      <c r="N4" s="80"/>
      <c r="O4" s="29"/>
    </row>
    <row r="5" spans="1:15" ht="12.75">
      <c r="A5" s="8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80"/>
      <c r="O5" s="29"/>
    </row>
    <row r="6" spans="1:15" ht="12.75">
      <c r="A6" s="76" t="s">
        <v>3</v>
      </c>
      <c r="B6" s="62"/>
      <c r="C6" s="62"/>
      <c r="D6" s="61" t="s">
        <v>6</v>
      </c>
      <c r="E6" s="62"/>
      <c r="F6" s="62"/>
      <c r="G6" s="79" t="s">
        <v>61</v>
      </c>
      <c r="H6" s="62"/>
      <c r="I6" s="79" t="s">
        <v>6</v>
      </c>
      <c r="J6" s="61" t="s">
        <v>71</v>
      </c>
      <c r="K6" s="61"/>
      <c r="L6" s="62"/>
      <c r="M6" s="62"/>
      <c r="N6" s="80"/>
      <c r="O6" s="29"/>
    </row>
    <row r="7" spans="1:15" ht="12.75">
      <c r="A7" s="8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80"/>
      <c r="O7" s="29"/>
    </row>
    <row r="8" spans="1:15" ht="12.75">
      <c r="A8" s="76" t="s">
        <v>4</v>
      </c>
      <c r="B8" s="62"/>
      <c r="C8" s="62"/>
      <c r="D8" s="61" t="s">
        <v>6</v>
      </c>
      <c r="E8" s="62"/>
      <c r="F8" s="62"/>
      <c r="G8" s="79" t="s">
        <v>62</v>
      </c>
      <c r="H8" s="62"/>
      <c r="I8" s="79"/>
      <c r="J8" s="61" t="s">
        <v>72</v>
      </c>
      <c r="K8" s="79"/>
      <c r="L8" s="62"/>
      <c r="M8" s="62"/>
      <c r="N8" s="80"/>
      <c r="O8" s="29"/>
    </row>
    <row r="9" spans="1:15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81"/>
      <c r="O9" s="29"/>
    </row>
    <row r="10" spans="1:64" ht="12.75">
      <c r="A10" s="1" t="s">
        <v>5</v>
      </c>
      <c r="B10" s="8" t="s">
        <v>21</v>
      </c>
      <c r="C10" s="8" t="s">
        <v>22</v>
      </c>
      <c r="D10" s="67" t="s">
        <v>39</v>
      </c>
      <c r="E10" s="68"/>
      <c r="F10" s="8" t="s">
        <v>54</v>
      </c>
      <c r="G10" s="15" t="s">
        <v>63</v>
      </c>
      <c r="H10" s="17" t="s">
        <v>64</v>
      </c>
      <c r="I10" s="69" t="s">
        <v>66</v>
      </c>
      <c r="J10" s="70"/>
      <c r="K10" s="71"/>
      <c r="L10" s="69" t="s">
        <v>76</v>
      </c>
      <c r="M10" s="71"/>
      <c r="N10" s="24" t="s">
        <v>78</v>
      </c>
      <c r="O10" s="30"/>
      <c r="BK10" s="23" t="s">
        <v>99</v>
      </c>
      <c r="BL10" s="34" t="s">
        <v>101</v>
      </c>
    </row>
    <row r="11" spans="1:62" ht="12.75">
      <c r="A11" s="2" t="s">
        <v>6</v>
      </c>
      <c r="B11" s="9" t="s">
        <v>6</v>
      </c>
      <c r="C11" s="9" t="s">
        <v>6</v>
      </c>
      <c r="D11" s="72" t="s">
        <v>40</v>
      </c>
      <c r="E11" s="73"/>
      <c r="F11" s="9" t="s">
        <v>6</v>
      </c>
      <c r="G11" s="9" t="s">
        <v>6</v>
      </c>
      <c r="H11" s="18" t="s">
        <v>65</v>
      </c>
      <c r="I11" s="19" t="s">
        <v>67</v>
      </c>
      <c r="J11" s="20" t="s">
        <v>73</v>
      </c>
      <c r="K11" s="21" t="s">
        <v>75</v>
      </c>
      <c r="L11" s="19" t="s">
        <v>77</v>
      </c>
      <c r="M11" s="21" t="s">
        <v>75</v>
      </c>
      <c r="N11" s="25" t="s">
        <v>79</v>
      </c>
      <c r="O11" s="30"/>
      <c r="Z11" s="23" t="s">
        <v>80</v>
      </c>
      <c r="AA11" s="23" t="s">
        <v>81</v>
      </c>
      <c r="AB11" s="23" t="s">
        <v>82</v>
      </c>
      <c r="AC11" s="23" t="s">
        <v>83</v>
      </c>
      <c r="AD11" s="23" t="s">
        <v>84</v>
      </c>
      <c r="AE11" s="23" t="s">
        <v>85</v>
      </c>
      <c r="AF11" s="23" t="s">
        <v>86</v>
      </c>
      <c r="AG11" s="23" t="s">
        <v>87</v>
      </c>
      <c r="AH11" s="23" t="s">
        <v>88</v>
      </c>
      <c r="BH11" s="23" t="s">
        <v>96</v>
      </c>
      <c r="BI11" s="23" t="s">
        <v>97</v>
      </c>
      <c r="BJ11" s="23" t="s">
        <v>98</v>
      </c>
    </row>
    <row r="12" spans="1:47" ht="12.75">
      <c r="A12" s="3"/>
      <c r="B12" s="10"/>
      <c r="C12" s="10" t="s">
        <v>23</v>
      </c>
      <c r="D12" s="74" t="s">
        <v>41</v>
      </c>
      <c r="E12" s="75"/>
      <c r="F12" s="13" t="s">
        <v>6</v>
      </c>
      <c r="G12" s="13" t="s">
        <v>6</v>
      </c>
      <c r="H12" s="13" t="s">
        <v>6</v>
      </c>
      <c r="I12" s="35">
        <f>SUM(I13:I14)</f>
        <v>0</v>
      </c>
      <c r="J12" s="35">
        <f>SUM(J13:J14)</f>
        <v>0</v>
      </c>
      <c r="K12" s="35">
        <f>SUM(K13:K14)</f>
        <v>0</v>
      </c>
      <c r="L12" s="22"/>
      <c r="M12" s="35">
        <f>SUM(M13:M14)</f>
        <v>2.0205900000000003</v>
      </c>
      <c r="N12" s="26"/>
      <c r="O12" s="29"/>
      <c r="AI12" s="23"/>
      <c r="AS12" s="36">
        <f>SUM(AJ13:AJ14)</f>
        <v>0</v>
      </c>
      <c r="AT12" s="36">
        <f>SUM(AK13:AK14)</f>
        <v>0</v>
      </c>
      <c r="AU12" s="36">
        <f>SUM(AL13:AL14)</f>
        <v>0</v>
      </c>
    </row>
    <row r="13" spans="1:64" ht="12.75">
      <c r="A13" s="4" t="s">
        <v>7</v>
      </c>
      <c r="B13" s="11"/>
      <c r="C13" s="11" t="s">
        <v>24</v>
      </c>
      <c r="D13" s="63" t="s">
        <v>42</v>
      </c>
      <c r="E13" s="64"/>
      <c r="F13" s="11" t="s">
        <v>55</v>
      </c>
      <c r="G13" s="16">
        <v>39</v>
      </c>
      <c r="H13" s="56">
        <v>0</v>
      </c>
      <c r="I13" s="16">
        <f>G13*AO13</f>
        <v>0</v>
      </c>
      <c r="J13" s="16">
        <f>G13*AP13</f>
        <v>0</v>
      </c>
      <c r="K13" s="16">
        <f>G13*H13</f>
        <v>0</v>
      </c>
      <c r="L13" s="16">
        <v>0.03781</v>
      </c>
      <c r="M13" s="16">
        <f>G13*L13</f>
        <v>1.47459</v>
      </c>
      <c r="N13" s="27" t="s">
        <v>147</v>
      </c>
      <c r="O13" s="29"/>
      <c r="Z13" s="31">
        <f>IF(AQ13="5",BJ13,0)</f>
        <v>0</v>
      </c>
      <c r="AB13" s="31">
        <f>IF(AQ13="1",BH13,0)</f>
        <v>0</v>
      </c>
      <c r="AC13" s="31">
        <f>IF(AQ13="1",BI13,0)</f>
        <v>0</v>
      </c>
      <c r="AD13" s="31">
        <f>IF(AQ13="7",BH13,0)</f>
        <v>0</v>
      </c>
      <c r="AE13" s="31">
        <f>IF(AQ13="7",BI13,0)</f>
        <v>0</v>
      </c>
      <c r="AF13" s="31">
        <f>IF(AQ13="2",BH13,0)</f>
        <v>0</v>
      </c>
      <c r="AG13" s="31">
        <f>IF(AQ13="2",BI13,0)</f>
        <v>0</v>
      </c>
      <c r="AH13" s="31">
        <f>IF(AQ13="0",BJ13,0)</f>
        <v>0</v>
      </c>
      <c r="AI13" s="23"/>
      <c r="AJ13" s="16">
        <f>IF(AN13=0,K13,0)</f>
        <v>0</v>
      </c>
      <c r="AK13" s="16">
        <f>IF(AN13=15,K13,0)</f>
        <v>0</v>
      </c>
      <c r="AL13" s="16">
        <f>IF(AN13=21,K13,0)</f>
        <v>0</v>
      </c>
      <c r="AN13" s="31">
        <v>15</v>
      </c>
      <c r="AO13" s="31">
        <f>H13*0.299362745098039</f>
        <v>0</v>
      </c>
      <c r="AP13" s="31">
        <f>H13*(1-0.299362745098039)</f>
        <v>0</v>
      </c>
      <c r="AQ13" s="32" t="s">
        <v>7</v>
      </c>
      <c r="AV13" s="31">
        <f>AW13+AX13</f>
        <v>0</v>
      </c>
      <c r="AW13" s="31">
        <f>G13*AO13</f>
        <v>0</v>
      </c>
      <c r="AX13" s="31">
        <f>G13*AP13</f>
        <v>0</v>
      </c>
      <c r="AY13" s="33" t="s">
        <v>89</v>
      </c>
      <c r="AZ13" s="33" t="s">
        <v>92</v>
      </c>
      <c r="BA13" s="23" t="s">
        <v>95</v>
      </c>
      <c r="BC13" s="31">
        <f>AW13+AX13</f>
        <v>0</v>
      </c>
      <c r="BD13" s="31">
        <f>H13/(100-BE13)*100</f>
        <v>0</v>
      </c>
      <c r="BE13" s="31">
        <v>0</v>
      </c>
      <c r="BF13" s="31">
        <f>M13</f>
        <v>1.47459</v>
      </c>
      <c r="BH13" s="16">
        <f>G13*AO13</f>
        <v>0</v>
      </c>
      <c r="BI13" s="16">
        <f>G13*AP13</f>
        <v>0</v>
      </c>
      <c r="BJ13" s="16">
        <f>G13*H13</f>
        <v>0</v>
      </c>
      <c r="BK13" s="16" t="s">
        <v>100</v>
      </c>
      <c r="BL13" s="31">
        <v>61</v>
      </c>
    </row>
    <row r="14" spans="1:64" ht="12.75">
      <c r="A14" s="4" t="s">
        <v>8</v>
      </c>
      <c r="B14" s="11"/>
      <c r="C14" s="11" t="s">
        <v>25</v>
      </c>
      <c r="D14" s="63" t="s">
        <v>149</v>
      </c>
      <c r="E14" s="64"/>
      <c r="F14" s="11" t="s">
        <v>56</v>
      </c>
      <c r="G14" s="16">
        <v>39</v>
      </c>
      <c r="H14" s="56">
        <v>0</v>
      </c>
      <c r="I14" s="16">
        <f>G14*AO14</f>
        <v>0</v>
      </c>
      <c r="J14" s="16">
        <f>G14*AP14</f>
        <v>0</v>
      </c>
      <c r="K14" s="16">
        <f>G14*H14</f>
        <v>0</v>
      </c>
      <c r="L14" s="16">
        <v>0.014</v>
      </c>
      <c r="M14" s="16">
        <f>G14*L14</f>
        <v>0.546</v>
      </c>
      <c r="N14" s="27" t="s">
        <v>147</v>
      </c>
      <c r="O14" s="29"/>
      <c r="Z14" s="31">
        <f>IF(AQ14="5",BJ14,0)</f>
        <v>0</v>
      </c>
      <c r="AB14" s="31">
        <f>IF(AQ14="1",BH14,0)</f>
        <v>0</v>
      </c>
      <c r="AC14" s="31">
        <f>IF(AQ14="1",BI14,0)</f>
        <v>0</v>
      </c>
      <c r="AD14" s="31">
        <f>IF(AQ14="7",BH14,0)</f>
        <v>0</v>
      </c>
      <c r="AE14" s="31">
        <f>IF(AQ14="7",BI14,0)</f>
        <v>0</v>
      </c>
      <c r="AF14" s="31">
        <f>IF(AQ14="2",BH14,0)</f>
        <v>0</v>
      </c>
      <c r="AG14" s="31">
        <f>IF(AQ14="2",BI14,0)</f>
        <v>0</v>
      </c>
      <c r="AH14" s="31">
        <f>IF(AQ14="0",BJ14,0)</f>
        <v>0</v>
      </c>
      <c r="AI14" s="23"/>
      <c r="AJ14" s="16">
        <f>IF(AN14=0,K14,0)</f>
        <v>0</v>
      </c>
      <c r="AK14" s="16">
        <f>IF(AN14=15,K14,0)</f>
        <v>0</v>
      </c>
      <c r="AL14" s="16">
        <f>IF(AN14=21,K14,0)</f>
        <v>0</v>
      </c>
      <c r="AN14" s="31">
        <v>15</v>
      </c>
      <c r="AO14" s="31">
        <f>H14*0.302797405065906</f>
        <v>0</v>
      </c>
      <c r="AP14" s="31">
        <f>H14*(1-0.302797405065906)</f>
        <v>0</v>
      </c>
      <c r="AQ14" s="32" t="s">
        <v>7</v>
      </c>
      <c r="AV14" s="31">
        <f>AW14+AX14</f>
        <v>0</v>
      </c>
      <c r="AW14" s="31">
        <f>G14*AO14</f>
        <v>0</v>
      </c>
      <c r="AX14" s="31">
        <f>G14*AP14</f>
        <v>0</v>
      </c>
      <c r="AY14" s="33" t="s">
        <v>89</v>
      </c>
      <c r="AZ14" s="33" t="s">
        <v>92</v>
      </c>
      <c r="BA14" s="23" t="s">
        <v>95</v>
      </c>
      <c r="BC14" s="31">
        <f>AW14+AX14</f>
        <v>0</v>
      </c>
      <c r="BD14" s="31">
        <f>H14/(100-BE14)*100</f>
        <v>0</v>
      </c>
      <c r="BE14" s="31">
        <v>0</v>
      </c>
      <c r="BF14" s="31">
        <f>M14</f>
        <v>0.546</v>
      </c>
      <c r="BH14" s="16">
        <f>G14*AO14</f>
        <v>0</v>
      </c>
      <c r="BI14" s="16">
        <f>G14*AP14</f>
        <v>0</v>
      </c>
      <c r="BJ14" s="16">
        <f>G14*H14</f>
        <v>0</v>
      </c>
      <c r="BK14" s="16" t="s">
        <v>100</v>
      </c>
      <c r="BL14" s="31">
        <v>61</v>
      </c>
    </row>
    <row r="15" spans="1:47" ht="12.75">
      <c r="A15" s="5"/>
      <c r="B15" s="12"/>
      <c r="C15" s="12" t="s">
        <v>26</v>
      </c>
      <c r="D15" s="65" t="s">
        <v>43</v>
      </c>
      <c r="E15" s="66"/>
      <c r="F15" s="14" t="s">
        <v>6</v>
      </c>
      <c r="G15" s="14" t="s">
        <v>6</v>
      </c>
      <c r="H15" s="57" t="s">
        <v>6</v>
      </c>
      <c r="I15" s="36">
        <f>SUM(I16:I25)</f>
        <v>0</v>
      </c>
      <c r="J15" s="36">
        <f>SUM(J16:J25)</f>
        <v>0</v>
      </c>
      <c r="K15" s="36">
        <f>SUM(K16:K25)</f>
        <v>0</v>
      </c>
      <c r="L15" s="23"/>
      <c r="M15" s="36">
        <f>SUM(M16:M25)</f>
        <v>0.74114</v>
      </c>
      <c r="N15" s="28"/>
      <c r="O15" s="29"/>
      <c r="AI15" s="23"/>
      <c r="AS15" s="36">
        <f>SUM(AJ16:AJ25)</f>
        <v>0</v>
      </c>
      <c r="AT15" s="36">
        <f>SUM(AK16:AK25)</f>
        <v>0</v>
      </c>
      <c r="AU15" s="36">
        <f>SUM(AL16:AL25)</f>
        <v>0</v>
      </c>
    </row>
    <row r="16" spans="1:64" ht="12.75">
      <c r="A16" s="4" t="s">
        <v>9</v>
      </c>
      <c r="B16" s="11"/>
      <c r="C16" s="11" t="s">
        <v>27</v>
      </c>
      <c r="D16" s="63" t="s">
        <v>151</v>
      </c>
      <c r="E16" s="64"/>
      <c r="F16" s="11" t="s">
        <v>56</v>
      </c>
      <c r="G16" s="16">
        <v>1084</v>
      </c>
      <c r="H16" s="56">
        <v>0</v>
      </c>
      <c r="I16" s="16">
        <f aca="true" t="shared" si="0" ref="I16:I25">G16*AO16</f>
        <v>0</v>
      </c>
      <c r="J16" s="16">
        <f aca="true" t="shared" si="1" ref="J16:J25">G16*AP16</f>
        <v>0</v>
      </c>
      <c r="K16" s="16">
        <f aca="true" t="shared" si="2" ref="K16:K25">G16*H16</f>
        <v>0</v>
      </c>
      <c r="L16" s="16">
        <v>7E-05</v>
      </c>
      <c r="M16" s="16">
        <f aca="true" t="shared" si="3" ref="M16:M25">G16*L16</f>
        <v>0.07587999999999999</v>
      </c>
      <c r="N16" s="27" t="s">
        <v>147</v>
      </c>
      <c r="O16" s="29"/>
      <c r="Z16" s="31">
        <f aca="true" t="shared" si="4" ref="Z16:Z25">IF(AQ16="5",BJ16,0)</f>
        <v>0</v>
      </c>
      <c r="AB16" s="31">
        <f aca="true" t="shared" si="5" ref="AB16:AB25">IF(AQ16="1",BH16,0)</f>
        <v>0</v>
      </c>
      <c r="AC16" s="31">
        <f aca="true" t="shared" si="6" ref="AC16:AC25">IF(AQ16="1",BI16,0)</f>
        <v>0</v>
      </c>
      <c r="AD16" s="31">
        <f aca="true" t="shared" si="7" ref="AD16:AD25">IF(AQ16="7",BH16,0)</f>
        <v>0</v>
      </c>
      <c r="AE16" s="31">
        <f aca="true" t="shared" si="8" ref="AE16:AE25">IF(AQ16="7",BI16,0)</f>
        <v>0</v>
      </c>
      <c r="AF16" s="31">
        <f aca="true" t="shared" si="9" ref="AF16:AF25">IF(AQ16="2",BH16,0)</f>
        <v>0</v>
      </c>
      <c r="AG16" s="31">
        <f aca="true" t="shared" si="10" ref="AG16:AG25">IF(AQ16="2",BI16,0)</f>
        <v>0</v>
      </c>
      <c r="AH16" s="31">
        <f aca="true" t="shared" si="11" ref="AH16:AH25">IF(AQ16="0",BJ16,0)</f>
        <v>0</v>
      </c>
      <c r="AI16" s="23"/>
      <c r="AJ16" s="16">
        <f aca="true" t="shared" si="12" ref="AJ16:AJ25">IF(AN16=0,K16,0)</f>
        <v>0</v>
      </c>
      <c r="AK16" s="16">
        <f aca="true" t="shared" si="13" ref="AK16:AK25">IF(AN16=15,K16,0)</f>
        <v>0</v>
      </c>
      <c r="AL16" s="16">
        <f aca="true" t="shared" si="14" ref="AL16:AL25">IF(AN16=21,K16,0)</f>
        <v>0</v>
      </c>
      <c r="AN16" s="31">
        <v>15</v>
      </c>
      <c r="AO16" s="31">
        <f>H16*0.26076887894589</f>
        <v>0</v>
      </c>
      <c r="AP16" s="31">
        <f>H16*(1-0.26076887894589)</f>
        <v>0</v>
      </c>
      <c r="AQ16" s="32" t="s">
        <v>13</v>
      </c>
      <c r="AV16" s="31">
        <f aca="true" t="shared" si="15" ref="AV16:AV25">AW16+AX16</f>
        <v>0</v>
      </c>
      <c r="AW16" s="31">
        <f aca="true" t="shared" si="16" ref="AW16:AW25">G16*AO16</f>
        <v>0</v>
      </c>
      <c r="AX16" s="31">
        <f aca="true" t="shared" si="17" ref="AX16:AX25">G16*AP16</f>
        <v>0</v>
      </c>
      <c r="AY16" s="33" t="s">
        <v>90</v>
      </c>
      <c r="AZ16" s="33" t="s">
        <v>93</v>
      </c>
      <c r="BA16" s="23" t="s">
        <v>95</v>
      </c>
      <c r="BC16" s="31">
        <f aca="true" t="shared" si="18" ref="BC16:BC25">AW16+AX16</f>
        <v>0</v>
      </c>
      <c r="BD16" s="31">
        <f aca="true" t="shared" si="19" ref="BD16:BD25">H16/(100-BE16)*100</f>
        <v>0</v>
      </c>
      <c r="BE16" s="31">
        <v>0</v>
      </c>
      <c r="BF16" s="31">
        <f aca="true" t="shared" si="20" ref="BF16:BF25">M16</f>
        <v>0.07587999999999999</v>
      </c>
      <c r="BH16" s="16">
        <f aca="true" t="shared" si="21" ref="BH16:BH25">G16*AO16</f>
        <v>0</v>
      </c>
      <c r="BI16" s="16">
        <f aca="true" t="shared" si="22" ref="BI16:BI25">G16*AP16</f>
        <v>0</v>
      </c>
      <c r="BJ16" s="16">
        <f aca="true" t="shared" si="23" ref="BJ16:BJ25">G16*H16</f>
        <v>0</v>
      </c>
      <c r="BK16" s="16" t="s">
        <v>100</v>
      </c>
      <c r="BL16" s="31">
        <v>784</v>
      </c>
    </row>
    <row r="17" spans="1:64" ht="12.75">
      <c r="A17" s="4" t="s">
        <v>10</v>
      </c>
      <c r="B17" s="11"/>
      <c r="C17" s="11" t="s">
        <v>28</v>
      </c>
      <c r="D17" s="63" t="s">
        <v>44</v>
      </c>
      <c r="E17" s="64"/>
      <c r="F17" s="11" t="s">
        <v>56</v>
      </c>
      <c r="G17" s="16">
        <v>175</v>
      </c>
      <c r="H17" s="56">
        <v>0</v>
      </c>
      <c r="I17" s="16">
        <f t="shared" si="0"/>
        <v>0</v>
      </c>
      <c r="J17" s="16">
        <f t="shared" si="1"/>
        <v>0</v>
      </c>
      <c r="K17" s="16">
        <f t="shared" si="2"/>
        <v>0</v>
      </c>
      <c r="L17" s="16">
        <v>0</v>
      </c>
      <c r="M17" s="16">
        <f t="shared" si="3"/>
        <v>0</v>
      </c>
      <c r="N17" s="27" t="s">
        <v>147</v>
      </c>
      <c r="O17" s="29"/>
      <c r="Z17" s="31">
        <f t="shared" si="4"/>
        <v>0</v>
      </c>
      <c r="AB17" s="31">
        <f t="shared" si="5"/>
        <v>0</v>
      </c>
      <c r="AC17" s="31">
        <f t="shared" si="6"/>
        <v>0</v>
      </c>
      <c r="AD17" s="31">
        <f t="shared" si="7"/>
        <v>0</v>
      </c>
      <c r="AE17" s="31">
        <f t="shared" si="8"/>
        <v>0</v>
      </c>
      <c r="AF17" s="31">
        <f t="shared" si="9"/>
        <v>0</v>
      </c>
      <c r="AG17" s="31">
        <f t="shared" si="10"/>
        <v>0</v>
      </c>
      <c r="AH17" s="31">
        <f t="shared" si="11"/>
        <v>0</v>
      </c>
      <c r="AI17" s="23"/>
      <c r="AJ17" s="16">
        <f t="shared" si="12"/>
        <v>0</v>
      </c>
      <c r="AK17" s="16">
        <f t="shared" si="13"/>
        <v>0</v>
      </c>
      <c r="AL17" s="16">
        <f t="shared" si="14"/>
        <v>0</v>
      </c>
      <c r="AN17" s="31">
        <v>15</v>
      </c>
      <c r="AO17" s="31">
        <f>H17*0.00271084337349398</f>
        <v>0</v>
      </c>
      <c r="AP17" s="31">
        <f>H17*(1-0.00271084337349398)</f>
        <v>0</v>
      </c>
      <c r="AQ17" s="32" t="s">
        <v>13</v>
      </c>
      <c r="AV17" s="31">
        <f t="shared" si="15"/>
        <v>0</v>
      </c>
      <c r="AW17" s="31">
        <f t="shared" si="16"/>
        <v>0</v>
      </c>
      <c r="AX17" s="31">
        <f t="shared" si="17"/>
        <v>0</v>
      </c>
      <c r="AY17" s="33" t="s">
        <v>90</v>
      </c>
      <c r="AZ17" s="33" t="s">
        <v>93</v>
      </c>
      <c r="BA17" s="23" t="s">
        <v>95</v>
      </c>
      <c r="BC17" s="31">
        <f t="shared" si="18"/>
        <v>0</v>
      </c>
      <c r="BD17" s="31">
        <f t="shared" si="19"/>
        <v>0</v>
      </c>
      <c r="BE17" s="31">
        <v>0</v>
      </c>
      <c r="BF17" s="31">
        <f t="shared" si="20"/>
        <v>0</v>
      </c>
      <c r="BH17" s="16">
        <f t="shared" si="21"/>
        <v>0</v>
      </c>
      <c r="BI17" s="16">
        <f t="shared" si="22"/>
        <v>0</v>
      </c>
      <c r="BJ17" s="16">
        <f t="shared" si="23"/>
        <v>0</v>
      </c>
      <c r="BK17" s="16" t="s">
        <v>100</v>
      </c>
      <c r="BL17" s="31">
        <v>784</v>
      </c>
    </row>
    <row r="18" spans="1:64" ht="12.75">
      <c r="A18" s="4" t="s">
        <v>11</v>
      </c>
      <c r="B18" s="11"/>
      <c r="C18" s="11" t="s">
        <v>29</v>
      </c>
      <c r="D18" s="63" t="s">
        <v>150</v>
      </c>
      <c r="E18" s="64"/>
      <c r="F18" s="11" t="s">
        <v>56</v>
      </c>
      <c r="G18" s="16">
        <v>1084</v>
      </c>
      <c r="H18" s="56">
        <v>0</v>
      </c>
      <c r="I18" s="16">
        <f t="shared" si="0"/>
        <v>0</v>
      </c>
      <c r="J18" s="16">
        <f t="shared" si="1"/>
        <v>0</v>
      </c>
      <c r="K18" s="16">
        <f t="shared" si="2"/>
        <v>0</v>
      </c>
      <c r="L18" s="16">
        <v>0.00046</v>
      </c>
      <c r="M18" s="16">
        <f t="shared" si="3"/>
        <v>0.49864</v>
      </c>
      <c r="N18" s="27" t="s">
        <v>147</v>
      </c>
      <c r="O18" s="29"/>
      <c r="Z18" s="31">
        <f t="shared" si="4"/>
        <v>0</v>
      </c>
      <c r="AB18" s="31">
        <f t="shared" si="5"/>
        <v>0</v>
      </c>
      <c r="AC18" s="31">
        <f t="shared" si="6"/>
        <v>0</v>
      </c>
      <c r="AD18" s="31">
        <f t="shared" si="7"/>
        <v>0</v>
      </c>
      <c r="AE18" s="31">
        <f t="shared" si="8"/>
        <v>0</v>
      </c>
      <c r="AF18" s="31">
        <f t="shared" si="9"/>
        <v>0</v>
      </c>
      <c r="AG18" s="31">
        <f t="shared" si="10"/>
        <v>0</v>
      </c>
      <c r="AH18" s="31">
        <f t="shared" si="11"/>
        <v>0</v>
      </c>
      <c r="AI18" s="23"/>
      <c r="AJ18" s="16">
        <f t="shared" si="12"/>
        <v>0</v>
      </c>
      <c r="AK18" s="16">
        <f t="shared" si="13"/>
        <v>0</v>
      </c>
      <c r="AL18" s="16">
        <f t="shared" si="14"/>
        <v>0</v>
      </c>
      <c r="AN18" s="31">
        <v>15</v>
      </c>
      <c r="AO18" s="31">
        <f>H18*0.23618320610687</f>
        <v>0</v>
      </c>
      <c r="AP18" s="31">
        <f>H18*(1-0.23618320610687)</f>
        <v>0</v>
      </c>
      <c r="AQ18" s="32" t="s">
        <v>13</v>
      </c>
      <c r="AV18" s="31">
        <f t="shared" si="15"/>
        <v>0</v>
      </c>
      <c r="AW18" s="31">
        <f t="shared" si="16"/>
        <v>0</v>
      </c>
      <c r="AX18" s="31">
        <f t="shared" si="17"/>
        <v>0</v>
      </c>
      <c r="AY18" s="33" t="s">
        <v>90</v>
      </c>
      <c r="AZ18" s="33" t="s">
        <v>93</v>
      </c>
      <c r="BA18" s="23" t="s">
        <v>95</v>
      </c>
      <c r="BC18" s="31">
        <f t="shared" si="18"/>
        <v>0</v>
      </c>
      <c r="BD18" s="31">
        <f t="shared" si="19"/>
        <v>0</v>
      </c>
      <c r="BE18" s="31">
        <v>0</v>
      </c>
      <c r="BF18" s="31">
        <f t="shared" si="20"/>
        <v>0.49864</v>
      </c>
      <c r="BH18" s="16">
        <f t="shared" si="21"/>
        <v>0</v>
      </c>
      <c r="BI18" s="16">
        <f t="shared" si="22"/>
        <v>0</v>
      </c>
      <c r="BJ18" s="16">
        <f t="shared" si="23"/>
        <v>0</v>
      </c>
      <c r="BK18" s="16" t="s">
        <v>100</v>
      </c>
      <c r="BL18" s="31">
        <v>784</v>
      </c>
    </row>
    <row r="19" spans="1:64" ht="12.75">
      <c r="A19" s="4" t="s">
        <v>12</v>
      </c>
      <c r="B19" s="11"/>
      <c r="C19" s="11" t="s">
        <v>30</v>
      </c>
      <c r="D19" s="63" t="s">
        <v>45</v>
      </c>
      <c r="E19" s="64"/>
      <c r="F19" s="11" t="s">
        <v>56</v>
      </c>
      <c r="G19" s="16">
        <v>1084</v>
      </c>
      <c r="H19" s="56">
        <v>0</v>
      </c>
      <c r="I19" s="16">
        <f t="shared" si="0"/>
        <v>0</v>
      </c>
      <c r="J19" s="16">
        <f t="shared" si="1"/>
        <v>0</v>
      </c>
      <c r="K19" s="16">
        <f t="shared" si="2"/>
        <v>0</v>
      </c>
      <c r="L19" s="16">
        <v>0</v>
      </c>
      <c r="M19" s="16">
        <f t="shared" si="3"/>
        <v>0</v>
      </c>
      <c r="N19" s="27" t="s">
        <v>147</v>
      </c>
      <c r="O19" s="29"/>
      <c r="Z19" s="31">
        <f t="shared" si="4"/>
        <v>0</v>
      </c>
      <c r="AB19" s="31">
        <f t="shared" si="5"/>
        <v>0</v>
      </c>
      <c r="AC19" s="31">
        <f t="shared" si="6"/>
        <v>0</v>
      </c>
      <c r="AD19" s="31">
        <f t="shared" si="7"/>
        <v>0</v>
      </c>
      <c r="AE19" s="31">
        <f t="shared" si="8"/>
        <v>0</v>
      </c>
      <c r="AF19" s="31">
        <f t="shared" si="9"/>
        <v>0</v>
      </c>
      <c r="AG19" s="31">
        <f t="shared" si="10"/>
        <v>0</v>
      </c>
      <c r="AH19" s="31">
        <f t="shared" si="11"/>
        <v>0</v>
      </c>
      <c r="AI19" s="23"/>
      <c r="AJ19" s="16">
        <f t="shared" si="12"/>
        <v>0</v>
      </c>
      <c r="AK19" s="16">
        <f t="shared" si="13"/>
        <v>0</v>
      </c>
      <c r="AL19" s="16">
        <f t="shared" si="14"/>
        <v>0</v>
      </c>
      <c r="AN19" s="31">
        <v>15</v>
      </c>
      <c r="AO19" s="31">
        <f>H19*0</f>
        <v>0</v>
      </c>
      <c r="AP19" s="31">
        <f>H19*(1-0)</f>
        <v>0</v>
      </c>
      <c r="AQ19" s="32" t="s">
        <v>13</v>
      </c>
      <c r="AV19" s="31">
        <f t="shared" si="15"/>
        <v>0</v>
      </c>
      <c r="AW19" s="31">
        <f t="shared" si="16"/>
        <v>0</v>
      </c>
      <c r="AX19" s="31">
        <f t="shared" si="17"/>
        <v>0</v>
      </c>
      <c r="AY19" s="33" t="s">
        <v>90</v>
      </c>
      <c r="AZ19" s="33" t="s">
        <v>93</v>
      </c>
      <c r="BA19" s="23" t="s">
        <v>95</v>
      </c>
      <c r="BC19" s="31">
        <f t="shared" si="18"/>
        <v>0</v>
      </c>
      <c r="BD19" s="31">
        <f t="shared" si="19"/>
        <v>0</v>
      </c>
      <c r="BE19" s="31">
        <v>0</v>
      </c>
      <c r="BF19" s="31">
        <f t="shared" si="20"/>
        <v>0</v>
      </c>
      <c r="BH19" s="16">
        <f t="shared" si="21"/>
        <v>0</v>
      </c>
      <c r="BI19" s="16">
        <f t="shared" si="22"/>
        <v>0</v>
      </c>
      <c r="BJ19" s="16">
        <f t="shared" si="23"/>
        <v>0</v>
      </c>
      <c r="BK19" s="16" t="s">
        <v>100</v>
      </c>
      <c r="BL19" s="31">
        <v>784</v>
      </c>
    </row>
    <row r="20" spans="1:64" ht="12.75">
      <c r="A20" s="4" t="s">
        <v>13</v>
      </c>
      <c r="B20" s="11"/>
      <c r="C20" s="11" t="s">
        <v>31</v>
      </c>
      <c r="D20" s="63" t="s">
        <v>46</v>
      </c>
      <c r="E20" s="64"/>
      <c r="F20" s="11" t="s">
        <v>56</v>
      </c>
      <c r="G20" s="16">
        <v>25</v>
      </c>
      <c r="H20" s="56">
        <v>0</v>
      </c>
      <c r="I20" s="16">
        <f t="shared" si="0"/>
        <v>0</v>
      </c>
      <c r="J20" s="16">
        <f t="shared" si="1"/>
        <v>0</v>
      </c>
      <c r="K20" s="16">
        <f t="shared" si="2"/>
        <v>0</v>
      </c>
      <c r="L20" s="16">
        <v>0</v>
      </c>
      <c r="M20" s="16">
        <f t="shared" si="3"/>
        <v>0</v>
      </c>
      <c r="N20" s="27" t="s">
        <v>147</v>
      </c>
      <c r="O20" s="29"/>
      <c r="Z20" s="31">
        <f t="shared" si="4"/>
        <v>0</v>
      </c>
      <c r="AB20" s="31">
        <f t="shared" si="5"/>
        <v>0</v>
      </c>
      <c r="AC20" s="31">
        <f t="shared" si="6"/>
        <v>0</v>
      </c>
      <c r="AD20" s="31">
        <f t="shared" si="7"/>
        <v>0</v>
      </c>
      <c r="AE20" s="31">
        <f t="shared" si="8"/>
        <v>0</v>
      </c>
      <c r="AF20" s="31">
        <f t="shared" si="9"/>
        <v>0</v>
      </c>
      <c r="AG20" s="31">
        <f t="shared" si="10"/>
        <v>0</v>
      </c>
      <c r="AH20" s="31">
        <f t="shared" si="11"/>
        <v>0</v>
      </c>
      <c r="AI20" s="23"/>
      <c r="AJ20" s="16">
        <f t="shared" si="12"/>
        <v>0</v>
      </c>
      <c r="AK20" s="16">
        <f t="shared" si="13"/>
        <v>0</v>
      </c>
      <c r="AL20" s="16">
        <f t="shared" si="14"/>
        <v>0</v>
      </c>
      <c r="AN20" s="31">
        <v>15</v>
      </c>
      <c r="AO20" s="31">
        <f>H20*0</f>
        <v>0</v>
      </c>
      <c r="AP20" s="31">
        <f>H20*(1-0)</f>
        <v>0</v>
      </c>
      <c r="AQ20" s="32" t="s">
        <v>13</v>
      </c>
      <c r="AV20" s="31">
        <f t="shared" si="15"/>
        <v>0</v>
      </c>
      <c r="AW20" s="31">
        <f t="shared" si="16"/>
        <v>0</v>
      </c>
      <c r="AX20" s="31">
        <f t="shared" si="17"/>
        <v>0</v>
      </c>
      <c r="AY20" s="33" t="s">
        <v>90</v>
      </c>
      <c r="AZ20" s="33" t="s">
        <v>93</v>
      </c>
      <c r="BA20" s="23" t="s">
        <v>95</v>
      </c>
      <c r="BC20" s="31">
        <f t="shared" si="18"/>
        <v>0</v>
      </c>
      <c r="BD20" s="31">
        <f t="shared" si="19"/>
        <v>0</v>
      </c>
      <c r="BE20" s="31">
        <v>0</v>
      </c>
      <c r="BF20" s="31">
        <f t="shared" si="20"/>
        <v>0</v>
      </c>
      <c r="BH20" s="16">
        <f t="shared" si="21"/>
        <v>0</v>
      </c>
      <c r="BI20" s="16">
        <f t="shared" si="22"/>
        <v>0</v>
      </c>
      <c r="BJ20" s="16">
        <f t="shared" si="23"/>
        <v>0</v>
      </c>
      <c r="BK20" s="16" t="s">
        <v>100</v>
      </c>
      <c r="BL20" s="31">
        <v>784</v>
      </c>
    </row>
    <row r="21" spans="1:64" ht="12.75">
      <c r="A21" s="4" t="s">
        <v>14</v>
      </c>
      <c r="B21" s="11"/>
      <c r="C21" s="11" t="s">
        <v>32</v>
      </c>
      <c r="D21" s="63" t="s">
        <v>47</v>
      </c>
      <c r="E21" s="64"/>
      <c r="F21" s="11" t="s">
        <v>57</v>
      </c>
      <c r="G21" s="16">
        <v>350</v>
      </c>
      <c r="H21" s="56">
        <v>0</v>
      </c>
      <c r="I21" s="16">
        <f t="shared" si="0"/>
        <v>0</v>
      </c>
      <c r="J21" s="16">
        <f t="shared" si="1"/>
        <v>0</v>
      </c>
      <c r="K21" s="16">
        <f t="shared" si="2"/>
        <v>0</v>
      </c>
      <c r="L21" s="16">
        <v>0</v>
      </c>
      <c r="M21" s="16">
        <f t="shared" si="3"/>
        <v>0</v>
      </c>
      <c r="N21" s="27" t="s">
        <v>147</v>
      </c>
      <c r="O21" s="29"/>
      <c r="Z21" s="31">
        <f t="shared" si="4"/>
        <v>0</v>
      </c>
      <c r="AB21" s="31">
        <f t="shared" si="5"/>
        <v>0</v>
      </c>
      <c r="AC21" s="31">
        <f t="shared" si="6"/>
        <v>0</v>
      </c>
      <c r="AD21" s="31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31">
        <f t="shared" si="11"/>
        <v>0</v>
      </c>
      <c r="AI21" s="23"/>
      <c r="AJ21" s="16">
        <f t="shared" si="12"/>
        <v>0</v>
      </c>
      <c r="AK21" s="16">
        <f t="shared" si="13"/>
        <v>0</v>
      </c>
      <c r="AL21" s="16">
        <f t="shared" si="14"/>
        <v>0</v>
      </c>
      <c r="AN21" s="31">
        <v>15</v>
      </c>
      <c r="AO21" s="31">
        <f>H21*0.116627265563436</f>
        <v>0</v>
      </c>
      <c r="AP21" s="31">
        <f>H21*(1-0.116627265563436)</f>
        <v>0</v>
      </c>
      <c r="AQ21" s="32" t="s">
        <v>13</v>
      </c>
      <c r="AV21" s="31">
        <f t="shared" si="15"/>
        <v>0</v>
      </c>
      <c r="AW21" s="31">
        <f t="shared" si="16"/>
        <v>0</v>
      </c>
      <c r="AX21" s="31">
        <f t="shared" si="17"/>
        <v>0</v>
      </c>
      <c r="AY21" s="33" t="s">
        <v>90</v>
      </c>
      <c r="AZ21" s="33" t="s">
        <v>93</v>
      </c>
      <c r="BA21" s="23" t="s">
        <v>95</v>
      </c>
      <c r="BC21" s="31">
        <f t="shared" si="18"/>
        <v>0</v>
      </c>
      <c r="BD21" s="31">
        <f t="shared" si="19"/>
        <v>0</v>
      </c>
      <c r="BE21" s="31">
        <v>0</v>
      </c>
      <c r="BF21" s="31">
        <f t="shared" si="20"/>
        <v>0</v>
      </c>
      <c r="BH21" s="16">
        <f t="shared" si="21"/>
        <v>0</v>
      </c>
      <c r="BI21" s="16">
        <f t="shared" si="22"/>
        <v>0</v>
      </c>
      <c r="BJ21" s="16">
        <f t="shared" si="23"/>
        <v>0</v>
      </c>
      <c r="BK21" s="16" t="s">
        <v>100</v>
      </c>
      <c r="BL21" s="31">
        <v>784</v>
      </c>
    </row>
    <row r="22" spans="1:64" ht="12.75">
      <c r="A22" s="4" t="s">
        <v>15</v>
      </c>
      <c r="B22" s="11"/>
      <c r="C22" s="11" t="s">
        <v>33</v>
      </c>
      <c r="D22" s="63" t="s">
        <v>48</v>
      </c>
      <c r="E22" s="64"/>
      <c r="F22" s="11" t="s">
        <v>56</v>
      </c>
      <c r="G22" s="16">
        <v>120.4</v>
      </c>
      <c r="H22" s="56"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6">
        <v>0</v>
      </c>
      <c r="M22" s="16">
        <f t="shared" si="3"/>
        <v>0</v>
      </c>
      <c r="N22" s="27" t="s">
        <v>147</v>
      </c>
      <c r="O22" s="29"/>
      <c r="Z22" s="31">
        <f t="shared" si="4"/>
        <v>0</v>
      </c>
      <c r="AB22" s="31">
        <f t="shared" si="5"/>
        <v>0</v>
      </c>
      <c r="AC22" s="31">
        <f t="shared" si="6"/>
        <v>0</v>
      </c>
      <c r="AD22" s="31">
        <f t="shared" si="7"/>
        <v>0</v>
      </c>
      <c r="AE22" s="31">
        <f t="shared" si="8"/>
        <v>0</v>
      </c>
      <c r="AF22" s="31">
        <f t="shared" si="9"/>
        <v>0</v>
      </c>
      <c r="AG22" s="31">
        <f t="shared" si="10"/>
        <v>0</v>
      </c>
      <c r="AH22" s="31">
        <f t="shared" si="11"/>
        <v>0</v>
      </c>
      <c r="AI22" s="23"/>
      <c r="AJ22" s="16">
        <f t="shared" si="12"/>
        <v>0</v>
      </c>
      <c r="AK22" s="16">
        <f t="shared" si="13"/>
        <v>0</v>
      </c>
      <c r="AL22" s="16">
        <f t="shared" si="14"/>
        <v>0</v>
      </c>
      <c r="AN22" s="31">
        <v>15</v>
      </c>
      <c r="AO22" s="31">
        <f>H22*0</f>
        <v>0</v>
      </c>
      <c r="AP22" s="31">
        <f>H22*(1-0)</f>
        <v>0</v>
      </c>
      <c r="AQ22" s="32" t="s">
        <v>13</v>
      </c>
      <c r="AV22" s="31">
        <f t="shared" si="15"/>
        <v>0</v>
      </c>
      <c r="AW22" s="31">
        <f t="shared" si="16"/>
        <v>0</v>
      </c>
      <c r="AX22" s="31">
        <f t="shared" si="17"/>
        <v>0</v>
      </c>
      <c r="AY22" s="33" t="s">
        <v>90</v>
      </c>
      <c r="AZ22" s="33" t="s">
        <v>93</v>
      </c>
      <c r="BA22" s="23" t="s">
        <v>95</v>
      </c>
      <c r="BC22" s="31">
        <f t="shared" si="18"/>
        <v>0</v>
      </c>
      <c r="BD22" s="31">
        <f t="shared" si="19"/>
        <v>0</v>
      </c>
      <c r="BE22" s="31">
        <v>0</v>
      </c>
      <c r="BF22" s="31">
        <f t="shared" si="20"/>
        <v>0</v>
      </c>
      <c r="BH22" s="16">
        <f t="shared" si="21"/>
        <v>0</v>
      </c>
      <c r="BI22" s="16">
        <f t="shared" si="22"/>
        <v>0</v>
      </c>
      <c r="BJ22" s="16">
        <f t="shared" si="23"/>
        <v>0</v>
      </c>
      <c r="BK22" s="16" t="s">
        <v>100</v>
      </c>
      <c r="BL22" s="31">
        <v>784</v>
      </c>
    </row>
    <row r="23" spans="1:64" ht="12.75">
      <c r="A23" s="4" t="s">
        <v>16</v>
      </c>
      <c r="B23" s="11"/>
      <c r="C23" s="11" t="s">
        <v>34</v>
      </c>
      <c r="D23" s="63" t="s">
        <v>49</v>
      </c>
      <c r="E23" s="64"/>
      <c r="F23" s="11" t="s">
        <v>57</v>
      </c>
      <c r="G23" s="16">
        <v>135</v>
      </c>
      <c r="H23" s="56">
        <v>0</v>
      </c>
      <c r="I23" s="16">
        <f t="shared" si="0"/>
        <v>0</v>
      </c>
      <c r="J23" s="16">
        <f t="shared" si="1"/>
        <v>0</v>
      </c>
      <c r="K23" s="16">
        <f t="shared" si="2"/>
        <v>0</v>
      </c>
      <c r="L23" s="16">
        <v>1E-05</v>
      </c>
      <c r="M23" s="16">
        <f t="shared" si="3"/>
        <v>0.00135</v>
      </c>
      <c r="N23" s="27" t="s">
        <v>147</v>
      </c>
      <c r="O23" s="29"/>
      <c r="Q23" s="55"/>
      <c r="Z23" s="31">
        <f t="shared" si="4"/>
        <v>0</v>
      </c>
      <c r="AB23" s="31">
        <f t="shared" si="5"/>
        <v>0</v>
      </c>
      <c r="AC23" s="31">
        <f t="shared" si="6"/>
        <v>0</v>
      </c>
      <c r="AD23" s="31">
        <f t="shared" si="7"/>
        <v>0</v>
      </c>
      <c r="AE23" s="31">
        <f t="shared" si="8"/>
        <v>0</v>
      </c>
      <c r="AF23" s="31">
        <f t="shared" si="9"/>
        <v>0</v>
      </c>
      <c r="AG23" s="31">
        <f t="shared" si="10"/>
        <v>0</v>
      </c>
      <c r="AH23" s="31">
        <f t="shared" si="11"/>
        <v>0</v>
      </c>
      <c r="AI23" s="23"/>
      <c r="AJ23" s="16">
        <f t="shared" si="12"/>
        <v>0</v>
      </c>
      <c r="AK23" s="16">
        <f t="shared" si="13"/>
        <v>0</v>
      </c>
      <c r="AL23" s="16">
        <f t="shared" si="14"/>
        <v>0</v>
      </c>
      <c r="AN23" s="31">
        <v>15</v>
      </c>
      <c r="AO23" s="31">
        <f>H23*0.0645833333333333</f>
        <v>0</v>
      </c>
      <c r="AP23" s="31">
        <f>H23*(1-0.0645833333333333)</f>
        <v>0</v>
      </c>
      <c r="AQ23" s="32" t="s">
        <v>13</v>
      </c>
      <c r="AV23" s="31">
        <f t="shared" si="15"/>
        <v>0</v>
      </c>
      <c r="AW23" s="31">
        <f t="shared" si="16"/>
        <v>0</v>
      </c>
      <c r="AX23" s="31">
        <f t="shared" si="17"/>
        <v>0</v>
      </c>
      <c r="AY23" s="33" t="s">
        <v>90</v>
      </c>
      <c r="AZ23" s="33" t="s">
        <v>93</v>
      </c>
      <c r="BA23" s="23" t="s">
        <v>95</v>
      </c>
      <c r="BC23" s="31">
        <f t="shared" si="18"/>
        <v>0</v>
      </c>
      <c r="BD23" s="31">
        <f t="shared" si="19"/>
        <v>0</v>
      </c>
      <c r="BE23" s="31">
        <v>0</v>
      </c>
      <c r="BF23" s="31">
        <f t="shared" si="20"/>
        <v>0.00135</v>
      </c>
      <c r="BH23" s="16">
        <f t="shared" si="21"/>
        <v>0</v>
      </c>
      <c r="BI23" s="16">
        <f t="shared" si="22"/>
        <v>0</v>
      </c>
      <c r="BJ23" s="16">
        <f t="shared" si="23"/>
        <v>0</v>
      </c>
      <c r="BK23" s="16" t="s">
        <v>100</v>
      </c>
      <c r="BL23" s="31">
        <v>784</v>
      </c>
    </row>
    <row r="24" spans="1:64" ht="12.75">
      <c r="A24" s="4" t="s">
        <v>17</v>
      </c>
      <c r="B24" s="11"/>
      <c r="C24" s="11" t="s">
        <v>35</v>
      </c>
      <c r="D24" s="63" t="s">
        <v>50</v>
      </c>
      <c r="E24" s="64"/>
      <c r="F24" s="11" t="s">
        <v>56</v>
      </c>
      <c r="G24" s="16">
        <v>295</v>
      </c>
      <c r="H24" s="56">
        <v>0</v>
      </c>
      <c r="I24" s="16">
        <f t="shared" si="0"/>
        <v>0</v>
      </c>
      <c r="J24" s="16">
        <f t="shared" si="1"/>
        <v>0</v>
      </c>
      <c r="K24" s="16">
        <f t="shared" si="2"/>
        <v>0</v>
      </c>
      <c r="L24" s="16">
        <v>0.00042</v>
      </c>
      <c r="M24" s="16">
        <f t="shared" si="3"/>
        <v>0.12390000000000001</v>
      </c>
      <c r="N24" s="27" t="s">
        <v>147</v>
      </c>
      <c r="O24" s="29"/>
      <c r="Z24" s="31">
        <f t="shared" si="4"/>
        <v>0</v>
      </c>
      <c r="AB24" s="31">
        <f t="shared" si="5"/>
        <v>0</v>
      </c>
      <c r="AC24" s="31">
        <f t="shared" si="6"/>
        <v>0</v>
      </c>
      <c r="AD24" s="31">
        <f t="shared" si="7"/>
        <v>0</v>
      </c>
      <c r="AE24" s="31">
        <f t="shared" si="8"/>
        <v>0</v>
      </c>
      <c r="AF24" s="31">
        <f t="shared" si="9"/>
        <v>0</v>
      </c>
      <c r="AG24" s="31">
        <f t="shared" si="10"/>
        <v>0</v>
      </c>
      <c r="AH24" s="31">
        <f t="shared" si="11"/>
        <v>0</v>
      </c>
      <c r="AI24" s="23"/>
      <c r="AJ24" s="16">
        <f t="shared" si="12"/>
        <v>0</v>
      </c>
      <c r="AK24" s="16">
        <f t="shared" si="13"/>
        <v>0</v>
      </c>
      <c r="AL24" s="16">
        <f t="shared" si="14"/>
        <v>0</v>
      </c>
      <c r="AN24" s="31">
        <v>15</v>
      </c>
      <c r="AO24" s="31">
        <f>H24*0.280375</f>
        <v>0</v>
      </c>
      <c r="AP24" s="31">
        <f>H24*(1-0.280375)</f>
        <v>0</v>
      </c>
      <c r="AQ24" s="32" t="s">
        <v>13</v>
      </c>
      <c r="AV24" s="31">
        <f t="shared" si="15"/>
        <v>0</v>
      </c>
      <c r="AW24" s="31">
        <f t="shared" si="16"/>
        <v>0</v>
      </c>
      <c r="AX24" s="31">
        <f t="shared" si="17"/>
        <v>0</v>
      </c>
      <c r="AY24" s="33" t="s">
        <v>90</v>
      </c>
      <c r="AZ24" s="33" t="s">
        <v>93</v>
      </c>
      <c r="BA24" s="23" t="s">
        <v>95</v>
      </c>
      <c r="BC24" s="31">
        <f t="shared" si="18"/>
        <v>0</v>
      </c>
      <c r="BD24" s="31">
        <f t="shared" si="19"/>
        <v>0</v>
      </c>
      <c r="BE24" s="31">
        <v>0</v>
      </c>
      <c r="BF24" s="31">
        <f t="shared" si="20"/>
        <v>0.12390000000000001</v>
      </c>
      <c r="BH24" s="16">
        <f t="shared" si="21"/>
        <v>0</v>
      </c>
      <c r="BI24" s="16">
        <f t="shared" si="22"/>
        <v>0</v>
      </c>
      <c r="BJ24" s="16">
        <f t="shared" si="23"/>
        <v>0</v>
      </c>
      <c r="BK24" s="16" t="s">
        <v>100</v>
      </c>
      <c r="BL24" s="31">
        <v>784</v>
      </c>
    </row>
    <row r="25" spans="1:64" ht="12.75">
      <c r="A25" s="4" t="s">
        <v>18</v>
      </c>
      <c r="B25" s="11"/>
      <c r="C25" s="11" t="s">
        <v>36</v>
      </c>
      <c r="D25" s="63" t="s">
        <v>146</v>
      </c>
      <c r="E25" s="64"/>
      <c r="F25" s="11" t="s">
        <v>56</v>
      </c>
      <c r="G25" s="16">
        <v>98.5</v>
      </c>
      <c r="H25" s="56">
        <v>0</v>
      </c>
      <c r="I25" s="16">
        <f t="shared" si="0"/>
        <v>0</v>
      </c>
      <c r="J25" s="16">
        <f t="shared" si="1"/>
        <v>0</v>
      </c>
      <c r="K25" s="16">
        <f t="shared" si="2"/>
        <v>0</v>
      </c>
      <c r="L25" s="16">
        <v>0.00042</v>
      </c>
      <c r="M25" s="16">
        <f t="shared" si="3"/>
        <v>0.041370000000000004</v>
      </c>
      <c r="N25" s="27" t="s">
        <v>147</v>
      </c>
      <c r="O25" s="29"/>
      <c r="Z25" s="31">
        <f t="shared" si="4"/>
        <v>0</v>
      </c>
      <c r="AB25" s="31">
        <f t="shared" si="5"/>
        <v>0</v>
      </c>
      <c r="AC25" s="31">
        <f t="shared" si="6"/>
        <v>0</v>
      </c>
      <c r="AD25" s="31">
        <f t="shared" si="7"/>
        <v>0</v>
      </c>
      <c r="AE25" s="31">
        <f t="shared" si="8"/>
        <v>0</v>
      </c>
      <c r="AF25" s="31">
        <f t="shared" si="9"/>
        <v>0</v>
      </c>
      <c r="AG25" s="31">
        <f t="shared" si="10"/>
        <v>0</v>
      </c>
      <c r="AH25" s="31">
        <f t="shared" si="11"/>
        <v>0</v>
      </c>
      <c r="AI25" s="23"/>
      <c r="AJ25" s="16">
        <f t="shared" si="12"/>
        <v>0</v>
      </c>
      <c r="AK25" s="16">
        <f t="shared" si="13"/>
        <v>0</v>
      </c>
      <c r="AL25" s="16">
        <f t="shared" si="14"/>
        <v>0</v>
      </c>
      <c r="AN25" s="31">
        <v>15</v>
      </c>
      <c r="AO25" s="31">
        <f>H25*0.27797747126702</f>
        <v>0</v>
      </c>
      <c r="AP25" s="31">
        <f>H25*(1-0.27797747126702)</f>
        <v>0</v>
      </c>
      <c r="AQ25" s="32" t="s">
        <v>13</v>
      </c>
      <c r="AV25" s="31">
        <f t="shared" si="15"/>
        <v>0</v>
      </c>
      <c r="AW25" s="31">
        <f t="shared" si="16"/>
        <v>0</v>
      </c>
      <c r="AX25" s="31">
        <f t="shared" si="17"/>
        <v>0</v>
      </c>
      <c r="AY25" s="33" t="s">
        <v>90</v>
      </c>
      <c r="AZ25" s="33" t="s">
        <v>93</v>
      </c>
      <c r="BA25" s="23" t="s">
        <v>95</v>
      </c>
      <c r="BC25" s="31">
        <f t="shared" si="18"/>
        <v>0</v>
      </c>
      <c r="BD25" s="31">
        <f t="shared" si="19"/>
        <v>0</v>
      </c>
      <c r="BE25" s="31">
        <v>0</v>
      </c>
      <c r="BF25" s="31">
        <f t="shared" si="20"/>
        <v>0.041370000000000004</v>
      </c>
      <c r="BH25" s="16">
        <f t="shared" si="21"/>
        <v>0</v>
      </c>
      <c r="BI25" s="16">
        <f t="shared" si="22"/>
        <v>0</v>
      </c>
      <c r="BJ25" s="16">
        <f t="shared" si="23"/>
        <v>0</v>
      </c>
      <c r="BK25" s="16" t="s">
        <v>100</v>
      </c>
      <c r="BL25" s="31">
        <v>784</v>
      </c>
    </row>
    <row r="26" spans="1:47" ht="12.75">
      <c r="A26" s="5"/>
      <c r="B26" s="12"/>
      <c r="C26" s="12" t="s">
        <v>37</v>
      </c>
      <c r="D26" s="65" t="s">
        <v>51</v>
      </c>
      <c r="E26" s="66"/>
      <c r="F26" s="14" t="s">
        <v>6</v>
      </c>
      <c r="G26" s="14" t="s">
        <v>6</v>
      </c>
      <c r="H26" s="57" t="s">
        <v>6</v>
      </c>
      <c r="I26" s="36">
        <f>SUM(I27:I27)</f>
        <v>0</v>
      </c>
      <c r="J26" s="36">
        <f>SUM(J27:J27)</f>
        <v>0</v>
      </c>
      <c r="K26" s="36">
        <f>SUM(K27:K27)</f>
        <v>0</v>
      </c>
      <c r="L26" s="23"/>
      <c r="M26" s="36">
        <f>SUM(M27:M27)</f>
        <v>0</v>
      </c>
      <c r="N26" s="28"/>
      <c r="O26" s="29"/>
      <c r="AI26" s="23"/>
      <c r="AS26" s="36">
        <f>SUM(AJ27:AJ27)</f>
        <v>0</v>
      </c>
      <c r="AT26" s="36">
        <f>SUM(AK27:AK27)</f>
        <v>0</v>
      </c>
      <c r="AU26" s="36">
        <f>SUM(AL27:AL27)</f>
        <v>0</v>
      </c>
    </row>
    <row r="27" spans="1:64" ht="12.75">
      <c r="A27" s="4" t="s">
        <v>19</v>
      </c>
      <c r="B27" s="11"/>
      <c r="C27" s="11" t="s">
        <v>38</v>
      </c>
      <c r="D27" s="63" t="s">
        <v>52</v>
      </c>
      <c r="E27" s="64"/>
      <c r="F27" s="11" t="s">
        <v>58</v>
      </c>
      <c r="G27" s="16">
        <v>1.84</v>
      </c>
      <c r="H27" s="56">
        <v>0</v>
      </c>
      <c r="I27" s="16">
        <f>G27*AO27</f>
        <v>0</v>
      </c>
      <c r="J27" s="16">
        <f>G27*AP27</f>
        <v>0</v>
      </c>
      <c r="K27" s="16">
        <f>G27*H27</f>
        <v>0</v>
      </c>
      <c r="L27" s="16">
        <v>0</v>
      </c>
      <c r="M27" s="16">
        <f>G27*L27</f>
        <v>0</v>
      </c>
      <c r="N27" s="27" t="s">
        <v>147</v>
      </c>
      <c r="O27" s="29"/>
      <c r="Z27" s="31">
        <f>IF(AQ27="5",BJ27,0)</f>
        <v>0</v>
      </c>
      <c r="AB27" s="31">
        <f>IF(AQ27="1",BH27,0)</f>
        <v>0</v>
      </c>
      <c r="AC27" s="31">
        <f>IF(AQ27="1",BI27,0)</f>
        <v>0</v>
      </c>
      <c r="AD27" s="31">
        <f>IF(AQ27="7",BH27,0)</f>
        <v>0</v>
      </c>
      <c r="AE27" s="31">
        <f>IF(AQ27="7",BI27,0)</f>
        <v>0</v>
      </c>
      <c r="AF27" s="31">
        <f>IF(AQ27="2",BH27,0)</f>
        <v>0</v>
      </c>
      <c r="AG27" s="31">
        <f>IF(AQ27="2",BI27,0)</f>
        <v>0</v>
      </c>
      <c r="AH27" s="31">
        <f>IF(AQ27="0",BJ27,0)</f>
        <v>0</v>
      </c>
      <c r="AI27" s="23"/>
      <c r="AJ27" s="16">
        <f>IF(AN27=0,K27,0)</f>
        <v>0</v>
      </c>
      <c r="AK27" s="16">
        <f>IF(AN27=15,K27,0)</f>
        <v>0</v>
      </c>
      <c r="AL27" s="16">
        <f>IF(AN27=21,K27,0)</f>
        <v>0</v>
      </c>
      <c r="AN27" s="31">
        <v>15</v>
      </c>
      <c r="AO27" s="31">
        <f>H27*0</f>
        <v>0</v>
      </c>
      <c r="AP27" s="31">
        <f>H27*(1-0)</f>
        <v>0</v>
      </c>
      <c r="AQ27" s="32" t="s">
        <v>11</v>
      </c>
      <c r="AV27" s="31">
        <f>AW27+AX27</f>
        <v>0</v>
      </c>
      <c r="AW27" s="31">
        <f>G27*AO27</f>
        <v>0</v>
      </c>
      <c r="AX27" s="31">
        <f>G27*AP27</f>
        <v>0</v>
      </c>
      <c r="AY27" s="33" t="s">
        <v>91</v>
      </c>
      <c r="AZ27" s="33" t="s">
        <v>94</v>
      </c>
      <c r="BA27" s="23" t="s">
        <v>95</v>
      </c>
      <c r="BC27" s="31">
        <f>AW27+AX27</f>
        <v>0</v>
      </c>
      <c r="BD27" s="31">
        <f>H27/(100-BE27)*100</f>
        <v>0</v>
      </c>
      <c r="BE27" s="31">
        <v>0</v>
      </c>
      <c r="BF27" s="31">
        <f>M27</f>
        <v>0</v>
      </c>
      <c r="BH27" s="16">
        <f>G27*AO27</f>
        <v>0</v>
      </c>
      <c r="BI27" s="16">
        <f>G27*AP27</f>
        <v>0</v>
      </c>
      <c r="BJ27" s="16">
        <f>G27*H27</f>
        <v>0</v>
      </c>
      <c r="BK27" s="16" t="s">
        <v>100</v>
      </c>
      <c r="BL27" s="31" t="s">
        <v>37</v>
      </c>
    </row>
    <row r="28" spans="1:14" ht="12.75">
      <c r="A28" s="6"/>
      <c r="B28" s="6"/>
      <c r="C28" s="6"/>
      <c r="D28" s="6"/>
      <c r="E28" s="6"/>
      <c r="F28" s="6"/>
      <c r="G28" s="6"/>
      <c r="H28" s="6"/>
      <c r="I28" s="59" t="s">
        <v>68</v>
      </c>
      <c r="J28" s="60"/>
      <c r="K28" s="37">
        <f>K12+K15+K26</f>
        <v>0</v>
      </c>
      <c r="L28" s="6"/>
      <c r="M28" s="6"/>
      <c r="N28" s="6"/>
    </row>
    <row r="29" ht="11.25" customHeight="1">
      <c r="A29" s="7" t="s">
        <v>20</v>
      </c>
    </row>
    <row r="30" spans="1:14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</sheetData>
  <sheetProtection password="CA1F" sheet="1"/>
  <mergeCells count="47">
    <mergeCell ref="A1:N1"/>
    <mergeCell ref="A2:C3"/>
    <mergeCell ref="D2:F3"/>
    <mergeCell ref="G2:H3"/>
    <mergeCell ref="I2:I3"/>
    <mergeCell ref="J2:J3"/>
    <mergeCell ref="K2:N3"/>
    <mergeCell ref="A4:C5"/>
    <mergeCell ref="D4:F5"/>
    <mergeCell ref="G4:H5"/>
    <mergeCell ref="I4:I5"/>
    <mergeCell ref="J4:J5"/>
    <mergeCell ref="K4:N5"/>
    <mergeCell ref="A6:C7"/>
    <mergeCell ref="D6:F7"/>
    <mergeCell ref="G6:H7"/>
    <mergeCell ref="I6:I7"/>
    <mergeCell ref="J6:J7"/>
    <mergeCell ref="K6:N7"/>
    <mergeCell ref="A8:C9"/>
    <mergeCell ref="D8:F9"/>
    <mergeCell ref="G8:H9"/>
    <mergeCell ref="I8:I9"/>
    <mergeCell ref="J8:J9"/>
    <mergeCell ref="K8:N9"/>
    <mergeCell ref="D10:E10"/>
    <mergeCell ref="I10:K10"/>
    <mergeCell ref="L10:M10"/>
    <mergeCell ref="D11:E11"/>
    <mergeCell ref="D12:E12"/>
    <mergeCell ref="D13:E13"/>
    <mergeCell ref="D14:E14"/>
    <mergeCell ref="D26:E26"/>
    <mergeCell ref="D15:E15"/>
    <mergeCell ref="D16:E16"/>
    <mergeCell ref="D17:E17"/>
    <mergeCell ref="D18:E18"/>
    <mergeCell ref="D19:E19"/>
    <mergeCell ref="D20:E20"/>
    <mergeCell ref="I28:J28"/>
    <mergeCell ref="A30:N30"/>
    <mergeCell ref="D27:E27"/>
    <mergeCell ref="D21:E21"/>
    <mergeCell ref="D22:E22"/>
    <mergeCell ref="D23:E23"/>
    <mergeCell ref="D24:E24"/>
    <mergeCell ref="D25:E25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0">
      <selection activeCell="M20" sqref="M2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6.25" customHeight="1">
      <c r="A1" s="54"/>
      <c r="B1" s="38"/>
      <c r="C1" s="116" t="s">
        <v>116</v>
      </c>
      <c r="D1" s="84"/>
      <c r="E1" s="84"/>
      <c r="F1" s="84"/>
      <c r="G1" s="84"/>
      <c r="H1" s="84"/>
      <c r="I1" s="84"/>
    </row>
    <row r="2" spans="1:10" ht="12.75">
      <c r="A2" s="85" t="s">
        <v>1</v>
      </c>
      <c r="B2" s="86"/>
      <c r="C2" s="87" t="str">
        <f>'Stavební rozpočet'!D2</f>
        <v>OPRAVA MALEB</v>
      </c>
      <c r="D2" s="60"/>
      <c r="E2" s="90" t="s">
        <v>69</v>
      </c>
      <c r="F2" s="90" t="str">
        <f>'Stavební rozpočet'!K2</f>
        <v> </v>
      </c>
      <c r="G2" s="86"/>
      <c r="H2" s="90" t="s">
        <v>141</v>
      </c>
      <c r="I2" s="117"/>
      <c r="J2" s="29"/>
    </row>
    <row r="3" spans="1:10" ht="12.75">
      <c r="A3" s="82"/>
      <c r="B3" s="62"/>
      <c r="C3" s="88"/>
      <c r="D3" s="88"/>
      <c r="E3" s="62"/>
      <c r="F3" s="62"/>
      <c r="G3" s="62"/>
      <c r="H3" s="62"/>
      <c r="I3" s="80"/>
      <c r="J3" s="29"/>
    </row>
    <row r="4" spans="1:10" ht="12.75">
      <c r="A4" s="76" t="s">
        <v>2</v>
      </c>
      <c r="B4" s="62"/>
      <c r="C4" s="61" t="str">
        <f>'Stavební rozpočet'!D4</f>
        <v>MŠ V ZELENI</v>
      </c>
      <c r="D4" s="62"/>
      <c r="E4" s="61" t="s">
        <v>70</v>
      </c>
      <c r="F4" s="61" t="str">
        <f>'Stavební rozpočet'!K4</f>
        <v> </v>
      </c>
      <c r="G4" s="62"/>
      <c r="H4" s="61" t="s">
        <v>141</v>
      </c>
      <c r="I4" s="115"/>
      <c r="J4" s="29"/>
    </row>
    <row r="5" spans="1:10" ht="12.75">
      <c r="A5" s="82"/>
      <c r="B5" s="62"/>
      <c r="C5" s="62"/>
      <c r="D5" s="62"/>
      <c r="E5" s="62"/>
      <c r="F5" s="62"/>
      <c r="G5" s="62"/>
      <c r="H5" s="62"/>
      <c r="I5" s="80"/>
      <c r="J5" s="29"/>
    </row>
    <row r="6" spans="1:10" ht="12.75">
      <c r="A6" s="76" t="s">
        <v>3</v>
      </c>
      <c r="B6" s="62"/>
      <c r="C6" s="61" t="str">
        <f>'Stavební rozpočet'!D6</f>
        <v> </v>
      </c>
      <c r="D6" s="62"/>
      <c r="E6" s="61" t="s">
        <v>71</v>
      </c>
      <c r="F6" s="61"/>
      <c r="G6" s="62"/>
      <c r="H6" s="61" t="s">
        <v>141</v>
      </c>
      <c r="I6" s="115"/>
      <c r="J6" s="29"/>
    </row>
    <row r="7" spans="1:10" ht="12.75">
      <c r="A7" s="82"/>
      <c r="B7" s="62"/>
      <c r="C7" s="62"/>
      <c r="D7" s="62"/>
      <c r="E7" s="62"/>
      <c r="F7" s="62"/>
      <c r="G7" s="62"/>
      <c r="H7" s="62"/>
      <c r="I7" s="80"/>
      <c r="J7" s="29"/>
    </row>
    <row r="8" spans="1:10" ht="12.75">
      <c r="A8" s="76" t="s">
        <v>60</v>
      </c>
      <c r="B8" s="62"/>
      <c r="C8" s="61">
        <f>'Stavební rozpočet'!I4</f>
        <v>0</v>
      </c>
      <c r="D8" s="62"/>
      <c r="E8" s="61" t="s">
        <v>61</v>
      </c>
      <c r="F8" s="61" t="str">
        <f>'Stavební rozpočet'!I6</f>
        <v> </v>
      </c>
      <c r="G8" s="62"/>
      <c r="H8" s="79" t="s">
        <v>142</v>
      </c>
      <c r="I8" s="115" t="s">
        <v>19</v>
      </c>
      <c r="J8" s="29"/>
    </row>
    <row r="9" spans="1:10" ht="12.75">
      <c r="A9" s="82"/>
      <c r="B9" s="62"/>
      <c r="C9" s="62"/>
      <c r="D9" s="62"/>
      <c r="E9" s="62"/>
      <c r="F9" s="62"/>
      <c r="G9" s="62"/>
      <c r="H9" s="62"/>
      <c r="I9" s="80"/>
      <c r="J9" s="29"/>
    </row>
    <row r="10" spans="1:10" ht="12.75">
      <c r="A10" s="76" t="s">
        <v>4</v>
      </c>
      <c r="B10" s="62"/>
      <c r="C10" s="61" t="str">
        <f>'Stavební rozpočet'!D8</f>
        <v> </v>
      </c>
      <c r="D10" s="62"/>
      <c r="E10" s="61" t="s">
        <v>72</v>
      </c>
      <c r="F10" s="61"/>
      <c r="G10" s="62"/>
      <c r="H10" s="79" t="s">
        <v>143</v>
      </c>
      <c r="I10" s="113"/>
      <c r="J10" s="29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4"/>
      <c r="J11" s="29"/>
    </row>
    <row r="12" spans="1:9" ht="23.25" customHeight="1">
      <c r="A12" s="107" t="s">
        <v>102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39" t="s">
        <v>103</v>
      </c>
      <c r="B13" s="109" t="s">
        <v>114</v>
      </c>
      <c r="C13" s="110"/>
      <c r="D13" s="39" t="s">
        <v>117</v>
      </c>
      <c r="E13" s="109" t="s">
        <v>126</v>
      </c>
      <c r="F13" s="110"/>
      <c r="G13" s="39" t="s">
        <v>127</v>
      </c>
      <c r="H13" s="109" t="s">
        <v>144</v>
      </c>
      <c r="I13" s="110"/>
      <c r="J13" s="29"/>
    </row>
    <row r="14" spans="1:10" ht="15" customHeight="1">
      <c r="A14" s="40" t="s">
        <v>104</v>
      </c>
      <c r="B14" s="44" t="s">
        <v>115</v>
      </c>
      <c r="C14" s="48">
        <f>SUM('Stavební rozpočet'!AB12:AB27)</f>
        <v>0</v>
      </c>
      <c r="D14" s="105" t="s">
        <v>118</v>
      </c>
      <c r="E14" s="106"/>
      <c r="F14" s="48">
        <v>0</v>
      </c>
      <c r="G14" s="105" t="s">
        <v>128</v>
      </c>
      <c r="H14" s="106"/>
      <c r="I14" s="58">
        <v>0</v>
      </c>
      <c r="J14" s="29"/>
    </row>
    <row r="15" spans="1:10" ht="15" customHeight="1">
      <c r="A15" s="41"/>
      <c r="B15" s="44" t="s">
        <v>73</v>
      </c>
      <c r="C15" s="48">
        <f>SUM('Stavební rozpočet'!AC12:AC27)</f>
        <v>0</v>
      </c>
      <c r="D15" s="105" t="s">
        <v>119</v>
      </c>
      <c r="E15" s="106"/>
      <c r="F15" s="48">
        <v>0</v>
      </c>
      <c r="G15" s="105" t="s">
        <v>129</v>
      </c>
      <c r="H15" s="106"/>
      <c r="I15" s="58">
        <v>0</v>
      </c>
      <c r="J15" s="29"/>
    </row>
    <row r="16" spans="1:10" ht="15" customHeight="1">
      <c r="A16" s="40" t="s">
        <v>105</v>
      </c>
      <c r="B16" s="44" t="s">
        <v>115</v>
      </c>
      <c r="C16" s="48">
        <f>SUM('Stavební rozpočet'!AD12:AD27)</f>
        <v>0</v>
      </c>
      <c r="D16" s="105" t="s">
        <v>120</v>
      </c>
      <c r="E16" s="106"/>
      <c r="F16" s="48">
        <v>0</v>
      </c>
      <c r="G16" s="105" t="s">
        <v>130</v>
      </c>
      <c r="H16" s="106"/>
      <c r="I16" s="58">
        <v>0</v>
      </c>
      <c r="J16" s="29"/>
    </row>
    <row r="17" spans="1:10" ht="15" customHeight="1">
      <c r="A17" s="41"/>
      <c r="B17" s="44" t="s">
        <v>73</v>
      </c>
      <c r="C17" s="48">
        <f>SUM('Stavební rozpočet'!AE12:AE27)</f>
        <v>0</v>
      </c>
      <c r="D17" s="105"/>
      <c r="E17" s="106"/>
      <c r="F17" s="49"/>
      <c r="G17" s="105" t="s">
        <v>131</v>
      </c>
      <c r="H17" s="106"/>
      <c r="I17" s="58">
        <v>0</v>
      </c>
      <c r="J17" s="29"/>
    </row>
    <row r="18" spans="1:10" ht="15" customHeight="1">
      <c r="A18" s="40" t="s">
        <v>106</v>
      </c>
      <c r="B18" s="44" t="s">
        <v>115</v>
      </c>
      <c r="C18" s="48">
        <f>SUM('Stavební rozpočet'!AF12:AF27)</f>
        <v>0</v>
      </c>
      <c r="D18" s="105"/>
      <c r="E18" s="106"/>
      <c r="F18" s="49"/>
      <c r="G18" s="105" t="s">
        <v>132</v>
      </c>
      <c r="H18" s="106"/>
      <c r="I18" s="58">
        <v>0</v>
      </c>
      <c r="J18" s="29"/>
    </row>
    <row r="19" spans="1:10" ht="15" customHeight="1">
      <c r="A19" s="41"/>
      <c r="B19" s="44" t="s">
        <v>73</v>
      </c>
      <c r="C19" s="48">
        <f>SUM('Stavební rozpočet'!AG12:AG27)</f>
        <v>0</v>
      </c>
      <c r="D19" s="105"/>
      <c r="E19" s="106"/>
      <c r="F19" s="49"/>
      <c r="G19" s="105" t="s">
        <v>133</v>
      </c>
      <c r="H19" s="106"/>
      <c r="I19" s="58">
        <v>0</v>
      </c>
      <c r="J19" s="29"/>
    </row>
    <row r="20" spans="1:10" ht="15" customHeight="1">
      <c r="A20" s="103" t="s">
        <v>53</v>
      </c>
      <c r="B20" s="104"/>
      <c r="C20" s="48">
        <f>SUM('Stavební rozpočet'!AH12:AH27)</f>
        <v>0</v>
      </c>
      <c r="D20" s="105"/>
      <c r="E20" s="106"/>
      <c r="F20" s="49"/>
      <c r="G20" s="105"/>
      <c r="H20" s="106"/>
      <c r="I20" s="49"/>
      <c r="J20" s="29"/>
    </row>
    <row r="21" spans="1:10" ht="15" customHeight="1">
      <c r="A21" s="103" t="s">
        <v>107</v>
      </c>
      <c r="B21" s="104"/>
      <c r="C21" s="48">
        <f>SUM('Stavební rozpočet'!Z12:Z27)</f>
        <v>0</v>
      </c>
      <c r="D21" s="105"/>
      <c r="E21" s="106"/>
      <c r="F21" s="49"/>
      <c r="G21" s="105"/>
      <c r="H21" s="106"/>
      <c r="I21" s="49"/>
      <c r="J21" s="29"/>
    </row>
    <row r="22" spans="1:10" ht="16.5" customHeight="1">
      <c r="A22" s="103" t="s">
        <v>108</v>
      </c>
      <c r="B22" s="104"/>
      <c r="C22" s="48">
        <f>SUM(C14:C21)</f>
        <v>0</v>
      </c>
      <c r="D22" s="103" t="s">
        <v>121</v>
      </c>
      <c r="E22" s="104"/>
      <c r="F22" s="48">
        <f>SUM(F14:F21)</f>
        <v>0</v>
      </c>
      <c r="G22" s="103" t="s">
        <v>134</v>
      </c>
      <c r="H22" s="104"/>
      <c r="I22" s="48">
        <f>SUM(I14:I21)</f>
        <v>0</v>
      </c>
      <c r="J22" s="29"/>
    </row>
    <row r="23" spans="1:10" ht="15" customHeight="1">
      <c r="A23" s="6"/>
      <c r="B23" s="6"/>
      <c r="C23" s="46"/>
      <c r="D23" s="103" t="s">
        <v>122</v>
      </c>
      <c r="E23" s="104"/>
      <c r="F23" s="50">
        <v>0</v>
      </c>
      <c r="G23" s="103" t="s">
        <v>135</v>
      </c>
      <c r="H23" s="104"/>
      <c r="I23" s="48">
        <v>0</v>
      </c>
      <c r="J23" s="29"/>
    </row>
    <row r="24" spans="4:10" ht="15" customHeight="1">
      <c r="D24" s="6"/>
      <c r="E24" s="6"/>
      <c r="F24" s="51"/>
      <c r="G24" s="103" t="s">
        <v>136</v>
      </c>
      <c r="H24" s="104"/>
      <c r="I24" s="48">
        <v>0</v>
      </c>
      <c r="J24" s="29"/>
    </row>
    <row r="25" spans="6:10" ht="15" customHeight="1">
      <c r="F25" s="52"/>
      <c r="G25" s="103" t="s">
        <v>137</v>
      </c>
      <c r="H25" s="104"/>
      <c r="I25" s="48">
        <v>0</v>
      </c>
      <c r="J25" s="29"/>
    </row>
    <row r="26" spans="1:9" ht="12.75">
      <c r="A26" s="38"/>
      <c r="B26" s="38"/>
      <c r="C26" s="38"/>
      <c r="G26" s="6"/>
      <c r="H26" s="6"/>
      <c r="I26" s="6"/>
    </row>
    <row r="27" spans="1:9" ht="15" customHeight="1">
      <c r="A27" s="98" t="s">
        <v>109</v>
      </c>
      <c r="B27" s="99"/>
      <c r="C27" s="53">
        <f>SUM('Stavební rozpočet'!AJ12:AJ27)</f>
        <v>0</v>
      </c>
      <c r="D27" s="47"/>
      <c r="E27" s="38"/>
      <c r="F27" s="38"/>
      <c r="G27" s="38"/>
      <c r="H27" s="38"/>
      <c r="I27" s="38"/>
    </row>
    <row r="28" spans="1:10" ht="15" customHeight="1">
      <c r="A28" s="98" t="s">
        <v>110</v>
      </c>
      <c r="B28" s="99"/>
      <c r="C28" s="53">
        <v>0</v>
      </c>
      <c r="D28" s="98" t="s">
        <v>123</v>
      </c>
      <c r="E28" s="99"/>
      <c r="F28" s="53">
        <f>ROUND(C28*(15/100),2)</f>
        <v>0</v>
      </c>
      <c r="G28" s="98" t="s">
        <v>138</v>
      </c>
      <c r="H28" s="99"/>
      <c r="I28" s="53">
        <f>SUM(C27:C29)</f>
        <v>0</v>
      </c>
      <c r="J28" s="29"/>
    </row>
    <row r="29" spans="1:10" ht="15" customHeight="1">
      <c r="A29" s="98" t="s">
        <v>111</v>
      </c>
      <c r="B29" s="99"/>
      <c r="C29" s="53">
        <f>SUM('Stavební rozpočet'!AK12:AK27)+(F22+I22+F23+I23+I24+I25)</f>
        <v>0</v>
      </c>
      <c r="D29" s="98" t="s">
        <v>124</v>
      </c>
      <c r="E29" s="99"/>
      <c r="F29" s="53">
        <f>ROUND(C29*(21/100),2)</f>
        <v>0</v>
      </c>
      <c r="G29" s="98" t="s">
        <v>139</v>
      </c>
      <c r="H29" s="99"/>
      <c r="I29" s="53">
        <f>SUM(F28:F29)+I28</f>
        <v>0</v>
      </c>
      <c r="J29" s="29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100" t="s">
        <v>112</v>
      </c>
      <c r="B31" s="101"/>
      <c r="C31" s="102"/>
      <c r="D31" s="100" t="s">
        <v>125</v>
      </c>
      <c r="E31" s="101"/>
      <c r="F31" s="102"/>
      <c r="G31" s="100" t="s">
        <v>140</v>
      </c>
      <c r="H31" s="101"/>
      <c r="I31" s="102"/>
      <c r="J31" s="30"/>
    </row>
    <row r="32" spans="1:10" ht="14.25" customHeight="1">
      <c r="A32" s="92"/>
      <c r="B32" s="93"/>
      <c r="C32" s="94"/>
      <c r="D32" s="92"/>
      <c r="E32" s="93"/>
      <c r="F32" s="94"/>
      <c r="G32" s="92"/>
      <c r="H32" s="93"/>
      <c r="I32" s="94"/>
      <c r="J32" s="30"/>
    </row>
    <row r="33" spans="1:10" ht="14.25" customHeight="1">
      <c r="A33" s="92"/>
      <c r="B33" s="93"/>
      <c r="C33" s="94"/>
      <c r="D33" s="92"/>
      <c r="E33" s="93"/>
      <c r="F33" s="94"/>
      <c r="G33" s="92"/>
      <c r="H33" s="93"/>
      <c r="I33" s="94"/>
      <c r="J33" s="30"/>
    </row>
    <row r="34" spans="1:10" ht="14.25" customHeight="1">
      <c r="A34" s="92"/>
      <c r="B34" s="93"/>
      <c r="C34" s="94"/>
      <c r="D34" s="92"/>
      <c r="E34" s="93"/>
      <c r="F34" s="94"/>
      <c r="G34" s="92"/>
      <c r="H34" s="93"/>
      <c r="I34" s="94"/>
      <c r="J34" s="30"/>
    </row>
    <row r="35" spans="1:10" ht="14.25" customHeight="1">
      <c r="A35" s="95" t="s">
        <v>113</v>
      </c>
      <c r="B35" s="96"/>
      <c r="C35" s="97"/>
      <c r="D35" s="95" t="s">
        <v>113</v>
      </c>
      <c r="E35" s="96"/>
      <c r="F35" s="97"/>
      <c r="G35" s="95" t="s">
        <v>113</v>
      </c>
      <c r="H35" s="96"/>
      <c r="I35" s="97"/>
      <c r="J35" s="30"/>
    </row>
    <row r="36" spans="1:9" ht="11.25" customHeight="1">
      <c r="A36" s="43" t="s">
        <v>20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1"/>
      <c r="B37" s="62"/>
      <c r="C37" s="62"/>
      <c r="D37" s="62"/>
      <c r="E37" s="62"/>
      <c r="F37" s="62"/>
      <c r="G37" s="62"/>
      <c r="H37" s="62"/>
      <c r="I37" s="62"/>
    </row>
  </sheetData>
  <sheetProtection password="CA1F"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Lysáková Kateřina, Mgr.</dc:creator>
  <cp:keywords/>
  <dc:description/>
  <cp:lastModifiedBy>a</cp:lastModifiedBy>
  <cp:lastPrinted>2022-01-20T09:10:22Z</cp:lastPrinted>
  <dcterms:created xsi:type="dcterms:W3CDTF">2022-05-03T05:54:22Z</dcterms:created>
  <dcterms:modified xsi:type="dcterms:W3CDTF">2022-05-17T12:55:13Z</dcterms:modified>
  <cp:category/>
  <cp:version/>
  <cp:contentType/>
  <cp:contentStatus/>
</cp:coreProperties>
</file>