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OUHRN" sheetId="1" r:id="rId1"/>
    <sheet name="vzor" sheetId="2" r:id="rId2"/>
    <sheet name="SO.01" sheetId="3" r:id="rId3"/>
  </sheets>
  <definedNames/>
  <calcPr fullCalcOnLoad="1"/>
</workbook>
</file>

<file path=xl/sharedStrings.xml><?xml version="1.0" encoding="utf-8"?>
<sst xmlns="http://schemas.openxmlformats.org/spreadsheetml/2006/main" count="509" uniqueCount="253">
  <si>
    <t>POLOŽKOVÝ ROZPOČET</t>
  </si>
  <si>
    <t>Stavba:</t>
  </si>
  <si>
    <t>Čajkovského – sanace skalního svahu – dozajištění</t>
  </si>
  <si>
    <t>Objekt:</t>
  </si>
  <si>
    <t xml:space="preserve">SO.01 Skalní svah </t>
  </si>
  <si>
    <t>Místo:</t>
  </si>
  <si>
    <t>Čajkovského, Ústí nad Labem</t>
  </si>
  <si>
    <t>Datum:</t>
  </si>
  <si>
    <t>Zadavatel:</t>
  </si>
  <si>
    <t>Magistrát města Ústí nad Labem</t>
  </si>
  <si>
    <t>Projektant:</t>
  </si>
  <si>
    <t>Zhotovitel:</t>
  </si>
  <si>
    <t>Zpracovatel:</t>
  </si>
  <si>
    <t>Číslo objektu</t>
  </si>
  <si>
    <t>Název objektu</t>
  </si>
  <si>
    <t>Cena [Kč]</t>
  </si>
  <si>
    <t>01</t>
  </si>
  <si>
    <t>Skalní svah</t>
  </si>
  <si>
    <t>CENA CELKEM:</t>
  </si>
  <si>
    <t xml:space="preserve">Kácení stromu D do 0,3 m horolezeckou technikou včetně stažení dolů </t>
  </si>
  <si>
    <t xml:space="preserve">Kácení stromu D do 0,5 m; stromolezecky horolezeckou technikou včetně stažení dolů </t>
  </si>
  <si>
    <r>
      <rPr>
        <sz val="10"/>
        <color indexed="8"/>
        <rFont val="Arial CE"/>
        <family val="2"/>
      </rPr>
      <t>Čajkovského – sanace skalního svahu – dozajištění</t>
    </r>
  </si>
  <si>
    <r>
      <rPr>
        <sz val="10"/>
        <color indexed="8"/>
        <rFont val="Arial CE"/>
        <family val="2"/>
      </rPr>
      <t xml:space="preserve">SO.01 Skalní svah </t>
    </r>
  </si>
  <si>
    <t>Poř.č.pol</t>
  </si>
  <si>
    <t>Kód</t>
  </si>
  <si>
    <t>Název položky</t>
  </si>
  <si>
    <t>Jednotka</t>
  </si>
  <si>
    <t>Počet jednotek</t>
  </si>
  <si>
    <t>Cena</t>
  </si>
  <si>
    <t>položky</t>
  </si>
  <si>
    <t>jednotková</t>
  </si>
  <si>
    <t>celkem</t>
  </si>
  <si>
    <t>Přípravné a přidružené práce a dočasné zajištění staveniště</t>
  </si>
  <si>
    <t>9.R1</t>
  </si>
  <si>
    <t>Pomocné konstrukce při zabezpečení staveniště, ochrana vozovky gumovými pásy, zřízení</t>
  </si>
  <si>
    <t>m2</t>
  </si>
  <si>
    <t>169 * 3 "délka úseku x šířka úseku; pokryv kolejového lože gumovými pásy"</t>
  </si>
  <si>
    <t>9.R2</t>
  </si>
  <si>
    <t>Pomocné konstrukce při zabezpečení staveniště, ochrana vozovky gumovými pásy - příplatek za první a ZKD den použití</t>
  </si>
  <si>
    <t>169 * 3 * 10 "délka úseku x šířka úseku x počet dnů; množství pásů přepočtené koeficientem"</t>
  </si>
  <si>
    <t>9.R3</t>
  </si>
  <si>
    <t>Pomocné konstrukce při zabezpečení staveniště, ochrana vozovky gumovými pásy, odstranění</t>
  </si>
  <si>
    <t>Odstranění vegetace, očištění, odtěžení, obnova akumulačního prostoru a podezdívky</t>
  </si>
  <si>
    <t>Odstranění vegetace ze skalních ploch horolezeckou technikou včetně stažení (odstranění popadaných stromů)</t>
  </si>
  <si>
    <t>56 * 10 * 1 * 0,3 "délka úseku x šířka úseku x koeficient zohledňující členitost skalního masívu ks x rozsah zásahu v % pro redukci plochy svah ; plocha vegetace k odstranění"</t>
  </si>
  <si>
    <t>Drcení ořezaných větví D do 100 mm s odvozem do 20 km nebo rozmístěním štěpky v místě</t>
  </si>
  <si>
    <t>m3</t>
  </si>
  <si>
    <t>168 * 0,01 "plocha odstranění vegetace x objemový koeficient; odstranění křovin ve skalní stěně"</t>
  </si>
  <si>
    <t>Kácení stromu D do 0,3 m</t>
  </si>
  <si>
    <t>kus</t>
  </si>
  <si>
    <t>"počet stromů ke kácení"</t>
  </si>
  <si>
    <t>Očištění skalních ploch ručními nástroji (motykami, páčidly) horolezeckou technikou</t>
  </si>
  <si>
    <t>190 * 1 * 0,05 * 0,5 "plocha úseku  koeficient zohledňující členitost skalního masívu ks x hloubka zásahu x rozsah zásahu v % pro redukci plochy svahu; objem materiálu ze skalních ploch"</t>
  </si>
  <si>
    <t>Očištění skalních ploch ručními nástroji (motykami, páčidly) horolezeckou technikou - sběr volných kamenů</t>
  </si>
  <si>
    <t xml:space="preserve"> "Objem materiálu z plochy skal.svahu 56x10=560m2, kde dojde ke sběru volných kamenů"</t>
  </si>
  <si>
    <t>Demntáž ocelové sítě na skalní stěnu prováděná horolezeckou technikou</t>
  </si>
  <si>
    <t>(42*10*1*0,3)"délka sítě x výška sítě x koef. Členitosti x rozsah sítě v ploše v %; plocha ochranné sítě určené k demontáži"</t>
  </si>
  <si>
    <t>Montáž ocelové sítě na skalní stěnu prováděná horolezeckou technikou</t>
  </si>
  <si>
    <t>Odtěžení nestabilních hornin ze skalních stěn horolezeckou technikou sbíječkou</t>
  </si>
  <si>
    <t>"objem nestabilních hornin k odtěžení"</t>
  </si>
  <si>
    <t>Odtěžení zvětralého materiálu z akumulačního prostoru u paty skalní stěny</t>
  </si>
  <si>
    <t>113 * 0,5 * 0,25 * "délka úseku x šířka úseku x hloubka zásahu; objem materiálu k odstranní v akumulačním prostoru"</t>
  </si>
  <si>
    <t>Zajištění skalního svahu lokálním kotvením</t>
  </si>
  <si>
    <t>Vrty do skalních stěn vrtacími kladivy D 56 mm hor. tř. V a VI prováděné horolezeckou technikou</t>
  </si>
  <si>
    <t>m</t>
  </si>
  <si>
    <t>10 * 2 "(počet trnů x hloubka vrtu; hloubka vrtů"</t>
  </si>
  <si>
    <t>Trn z oceli D 22 mm l do 3 m zainjektovaný cementovou maltou prováděný horolezecky včetně podložky s matkou</t>
  </si>
  <si>
    <t>"počet trnů pro lokální kotvení skalního svahu"</t>
  </si>
  <si>
    <t>1.R2 - MAT</t>
  </si>
  <si>
    <t>Cement struskoportlandský směsný pro velkoobjemové betonáže a agresivní prostředí 32,5 MPa VL</t>
  </si>
  <si>
    <t>t</t>
  </si>
  <si>
    <t>(π*(0,05^2)) * 10 * 2 * 1,22 * 2 "objem vrtu x celk.hloubka vrtů x hmotnostní koeficient x zaplnění puklin v okolí vrtu; množství injekční směsi"</t>
  </si>
  <si>
    <t>Injektování aktivovanými směsmi nízkotlaké sestupné tlakem do 0,6 MPa</t>
  </si>
  <si>
    <t>hod</t>
  </si>
  <si>
    <t>10*2 * 0,3 "(počet trnů x hloubka vrtu x 0,3 hod/m vrtu); injektování"</t>
  </si>
  <si>
    <t>1.R3</t>
  </si>
  <si>
    <t>Ochranné nátěry</t>
  </si>
  <si>
    <t>10 * 0,06 * 2 "Počet trnů x plocha nátěru x počet nátěrů;nátěr hlav kotev.prvků a podložek s matkou"</t>
  </si>
  <si>
    <t>Zajištění skalního svahu geokompozitní strukturou</t>
  </si>
  <si>
    <t>45 * 2 "(počet trnů x hloubka vrtu; hloubka vrtů pro plot"</t>
  </si>
  <si>
    <t>Trn z injekčních zavrtávacích tyčí D 32 mm l 2 m včetně vrtu prováděný horolezecky včetně vrtu, podložky a matky</t>
  </si>
  <si>
    <t>(280/3,5)+(280*0,01) "Plocha sítě / 4,0 m2 sítě/ks + nesystémové kotvení s hustotou tyčí 0,01 ks/m2; Počet trnů pro kotvení sítě."</t>
  </si>
  <si>
    <t>Trn z oceli pro sítě D 25 mm l 2 m zainjektovaný cementovou maltou prováděný horolezecky včetně podložky s matkou</t>
  </si>
  <si>
    <t>(160/3,5)+(160*0,01) "Plocha sítě / 3,5 m2 sítě/ks + nesystémové kotvení s hustotou tyčí 0,01 ks/m2; Počet trnů pro kotvení sítě."</t>
  </si>
  <si>
    <t>(56*5)*1*1"délka sítě x výška sítě x koef. členitosti x rozsah sítě v ploše v %; plocha síťování"</t>
  </si>
  <si>
    <t>Síť na skálu s oky 60x80mm pozinkovaná drát D 2,7mm 50x2m</t>
  </si>
  <si>
    <t>280 * 1,2 "Plocha sítě včetně 20% na přesahy, ohyby a prořezy"</t>
  </si>
  <si>
    <t>Montáž ocelového lana D přes 10 mm pro uchycení sítí prováděná horolezeckou technikou</t>
  </si>
  <si>
    <t>(56+5)*2 "obvod síťování; délka lana "</t>
  </si>
  <si>
    <t>Lano ocelové šestipramenné Pz 6x19 drátů D 10, mm</t>
  </si>
  <si>
    <t>122 * 1,2 "Délka lana včetně 20% na ohyby, spoje a profilaci dle skal.svahu"</t>
  </si>
  <si>
    <t>Svorka lanová Pz D 10 mm</t>
  </si>
  <si>
    <t>((122/15)+1)*2 "((celk.délka lana/osová vzdálenost 15m) + 1 ks) x 2 svorky; počet svorek"</t>
  </si>
  <si>
    <t>1.R1 - MAT</t>
  </si>
  <si>
    <t>Spojovací materiál SPENAX</t>
  </si>
  <si>
    <t>balení</t>
  </si>
  <si>
    <t>(280*8)/1600 "(Plocha sítě*8 ks/m2)/1600ks v balení; počet balení spojovacího materiálu SPENAX "</t>
  </si>
  <si>
    <t>(π*(0,028^2)) * 83 * 2 * 1,22 * 2 "objem vrtu x počet trnů x hloubka vrtu x hmotnostní koeficient x zaplnění puklin v okolí vrtu; množství injekční směsi"</t>
  </si>
  <si>
    <t>83 * 2 * 0,1 "(počet trnů x hloubka vrtu x 0,1 hod/m vrtu); injektování"</t>
  </si>
  <si>
    <t>83 * 0,06 * 2 "Počet trnů x plocha nátěru x počet nátěrů;nátěr hlav kotevních prvků a podložek s matkou"</t>
  </si>
  <si>
    <t>Zajištění skalního svahu ocelovou ochrannou sítí</t>
  </si>
  <si>
    <t>Ochranný plot výšky do 2 m - lehký</t>
  </si>
  <si>
    <t>30 * 1,2 "(počet sloupků x hloubka vrtu; hloubka vrtů pro plot"</t>
  </si>
  <si>
    <t>Trn z injekčních zavrtávacích tyčí pro ploty s okem D 25 mm l 1,2 m prováděný horolezecky včetně vrtu</t>
  </si>
  <si>
    <t>(30+2)"((počet trnů pro kotvení sloupků do svahu x 2)+2 trny pro kotvení sloupků do boku); počet trnů pro kotvení plotu"</t>
  </si>
  <si>
    <t>Sloupky pro záchytný plot lehký z ocelové trubky D 32 mm s okem l 3 m do vrtů horolezecky</t>
  </si>
  <si>
    <t>"(87/3)+1 "délka úseku/délka pole + 1 krajní sloupek; počet sloupků plotu"</t>
  </si>
  <si>
    <t>Ukotvení sloupku záchytného plotu lany prováděné horolezeckou technikou</t>
  </si>
  <si>
    <t>"počet sloupků plotu, každý sloupek kotven do svahu"</t>
  </si>
  <si>
    <t>Montáž pletiva na sloupky záchytného plotu prováděná horolezeckou technikou</t>
  </si>
  <si>
    <t>87 * 2 "celková délka plotu x výška plotu; plocha pletiva plotu"</t>
  </si>
  <si>
    <t>174 * 1,2 "Plocha sítě včetně 20% na ohyby, prostřihy a profilaci dle skal.svahu"</t>
  </si>
  <si>
    <t>Montáž ztužujících lan k pletivu záchytného plotu prováděná horolezeckou technikou</t>
  </si>
  <si>
    <t>(87 * 5)+(32 * 3) "(celková délka plotu x počet řad lan)+(počet trnů pro kotvení sloupků x délka kotvení); ztužující lana k pletivu plotu"</t>
  </si>
  <si>
    <t>Lano ocelové šestipramenné Pz 6x19 drátů D 10 mm</t>
  </si>
  <si>
    <t>O531 * 1,2 "délka ztužujícího lana k pletivu plotu včetně 20% na ohyby, spojování a profilaci dle skal.svahu"</t>
  </si>
  <si>
    <t>(32*4) + ((87/15)+1) * 2 * 5 "Počet kotev.prvků x 4 svorky + ((celk.délka plotu /  osová vzdálenost 15m) + 1 ks) x 2 svorky x  počet řad lan; počet svorek"</t>
  </si>
  <si>
    <t>bal</t>
  </si>
  <si>
    <t>(174*8)/1600 "(Plocha sítě*8 ks/m2)/1600ks v balení; počet balení spojovacího materiálu SPENAX"</t>
  </si>
  <si>
    <t>(π*(0,028^2)) * (30+32) * 1,2 * 1,22 * 2 "objem vrtu x (počet.sloupků+kotev.trnů) x hloubka vrtu x hmotnostní koeficient x zaplnění puklin v okolí vrtu; množství injekční směsi"</t>
  </si>
  <si>
    <t>(30+32) *1,2 * 0,1 "((počet sloupků+počet trnů) * hloubka vrtu x 0,1 hod/m vrtu; injektování"</t>
  </si>
  <si>
    <t>((32 * 0,015) + (30 * 0,305))*2"(nátěr hlav kotevních prvků + nátěr sloupků) x počet nátěrů"</t>
  </si>
  <si>
    <t xml:space="preserve">Ochranný plot výšky do 2 m - těžký </t>
  </si>
  <si>
    <t>13 * 1,2 "(počet sloupků x hloubka vrtu; hloubka vrtů pro plot"</t>
  </si>
  <si>
    <t>(13+2)"((počet trnů pro kotvení sloupků do svahu)+2 trny pro kotvení sloupků do boku); počet trnů pro kotvení plotu"</t>
  </si>
  <si>
    <t xml:space="preserve">Sloupky pro záchytný plot těžký z ocelové trubky D do 89/10 mm l do 3 m do vrtů horolezecky   </t>
  </si>
  <si>
    <t>(36/3)+1 "délka úseku/délka pole + 1 krajní sloupek; počet sloupků plotu"</t>
  </si>
  <si>
    <t>36 * 2 "celková délka plotu x výška plotu; plocha pletiva plotu"</t>
  </si>
  <si>
    <t>72 * 1,2 "Plocha sítě včetně 20% na ohyby, prostřihy a profilaci dle skal.svahu"</t>
  </si>
  <si>
    <t>(36 * 5)+(13 * 3) "(celková délka plotu x počet řad lan)+(počet trnů pro kotvení sloupků x délka kotvení); ztužující lana k pletivu plotu"</t>
  </si>
  <si>
    <t>225 * 1,2 "délka ztužujícího lana k pletivu plotu včetně 20% na ohyby, spojování a profilaci dle skal.svahu"</t>
  </si>
  <si>
    <t>(15*4) + (((36/15)+1) * 2 * 5 "Počet kotev.prvků x 4 svorky + ((celk.délka plotu /  osová vzdálenost 15m) + 1 ks) x 2 svorky x  počet řad lan; počet svorek"</t>
  </si>
  <si>
    <t>(72*8)/1600 "(Plocha sítě * 8 ks/m2)/1600ks v balení; počet balení spojovacího materiálu SPENAX "</t>
  </si>
  <si>
    <t>[(π*(0,028^2) *15)+(π*(0,05^2)*13) * 1,2 * 1,22 * 2 "objem vrtu x (počet.sloupků+kotev.trnů) x hloubka vrtu x hmotnostní koeficient x zaplnění puklin v okolí vrtu; množství injekční směsi"</t>
  </si>
  <si>
    <t>(15 *1,2 * 0,1)+(13 *1,2 * 0,2) "((počet sloupků+počet trnů) * hloubka vrtu x hod/m vrtu; injektování"</t>
  </si>
  <si>
    <t>((15 * 0,015) + (13 * 0,62))*2"(nátěr hlav kotevních prvků + nátěr sloupků) x počet nátěrů"</t>
  </si>
  <si>
    <t>Přesuny hmot</t>
  </si>
  <si>
    <t>Vodorovné přemístění do 10000 m výkopku/sypaniny z horniny tř. 1 až 4</t>
  </si>
  <si>
    <t>(525+12+30+111) " (Součet množství výkopku pol č. 8, 9, 10); Množství výkopku/sypaniny z horniny "</t>
  </si>
  <si>
    <t>Příplatek k vodorovnému přemístění výkopku/sypaniny z horniny tř. 1 až 4 ZKD 1000 m přes 10000 m</t>
  </si>
  <si>
    <t>678 * 23 " Množství výkopku x vzdálenost v km; Příplatek k vodorovnému přemístění počítán od 10 km "</t>
  </si>
  <si>
    <t>Nakládání výkopku z hornin tř. 1 až 4 do 100 m3</t>
  </si>
  <si>
    <t>Skládání nebo překládání výkopku z horniny tř. 1 až 4</t>
  </si>
  <si>
    <t>Uložení sypaniny na skládky</t>
  </si>
  <si>
    <t>Poplatek za uložení stavebního odpadu - zeminy a kameniva na skládce</t>
  </si>
  <si>
    <t>VRN</t>
  </si>
  <si>
    <t>VRN 1</t>
  </si>
  <si>
    <t>Zařízení staveniště</t>
  </si>
  <si>
    <t>soubor</t>
  </si>
  <si>
    <t>VRN 2</t>
  </si>
  <si>
    <t>DIO (dopravně inženýrská opatření)</t>
  </si>
  <si>
    <t>VRN 3</t>
  </si>
  <si>
    <t xml:space="preserve">Mimostaveništní doprava </t>
  </si>
  <si>
    <t>VRN 4</t>
  </si>
  <si>
    <t>Rozbor kameniva/zeminy pro uložení na skládku dle tabulky 10.1 a 10.2 vyhlášky 294/2005 sb.</t>
  </si>
  <si>
    <t>VRN 5</t>
  </si>
  <si>
    <t>Dokumentace skutečného provedení</t>
  </si>
  <si>
    <t>CELKEM:</t>
  </si>
  <si>
    <r>
      <rPr>
        <sz val="10"/>
        <color indexed="8"/>
        <rFont val="Arial CE"/>
        <family val="2"/>
      </rPr>
      <t>Čajkovského, Ústí nad Labem</t>
    </r>
  </si>
  <si>
    <r>
      <rPr>
        <sz val="10"/>
        <color indexed="8"/>
        <rFont val="Arial CE"/>
        <family val="2"/>
      </rPr>
      <t>Magistrát města Ústí nad Labem</t>
    </r>
  </si>
  <si>
    <t>sklon svahu</t>
  </si>
  <si>
    <t>morfologie</t>
  </si>
  <si>
    <t>plocha</t>
  </si>
  <si>
    <t>plocha vč.morfologie</t>
  </si>
  <si>
    <t>počet pařezů</t>
  </si>
  <si>
    <t>vegetace % plochy</t>
  </si>
  <si>
    <t>Plocha vegetace</t>
  </si>
  <si>
    <t>hloubka zásahu</t>
  </si>
  <si>
    <t>Objem očisty</t>
  </si>
  <si>
    <t>těžba</t>
  </si>
  <si>
    <t>odkopávky</t>
  </si>
  <si>
    <t>celk.objem materiálu</t>
  </si>
  <si>
    <t>typ sítě</t>
  </si>
  <si>
    <t>plocha sítí</t>
  </si>
  <si>
    <t>typ kotev</t>
  </si>
  <si>
    <t>rastr</t>
  </si>
  <si>
    <t>počet kotev</t>
  </si>
  <si>
    <t>lano</t>
  </si>
  <si>
    <t>jiná opatření</t>
  </si>
  <si>
    <t>objem prací</t>
  </si>
  <si>
    <t>zabezpečení</t>
  </si>
  <si>
    <t>Macmat Ra</t>
  </si>
  <si>
    <t>ibo r32 délky 2-3 m</t>
  </si>
  <si>
    <t xml:space="preserve">2 x 2 </t>
  </si>
  <si>
    <t>-</t>
  </si>
  <si>
    <t xml:space="preserve">geotextilie </t>
  </si>
  <si>
    <t>ibo r32 délky 2 m</t>
  </si>
  <si>
    <t>beton. odvodňovací žlab</t>
  </si>
  <si>
    <t>podlážky+nilon plot</t>
  </si>
  <si>
    <t>949 95-1015</t>
  </si>
  <si>
    <t>Zřízení horolezeckého úvazu pro práci ve výškách</t>
  </si>
  <si>
    <t>Pomocné konstrukce při zabezpečení staveniště - zřízení a odstranění záchytného plotu z nylonových sítí, podlážky, atd.</t>
  </si>
  <si>
    <t>soub.</t>
  </si>
  <si>
    <t>Demontáž sítě</t>
  </si>
  <si>
    <r>
      <rPr>
        <sz val="10"/>
        <color indexed="8"/>
        <rFont val="Arial CE"/>
        <family val="2"/>
      </rPr>
      <t>m</t>
    </r>
    <r>
      <rPr>
        <vertAlign val="superscript"/>
        <sz val="10"/>
        <color indexed="8"/>
        <rFont val="Arial CE"/>
        <family val="2"/>
      </rPr>
      <t>2</t>
    </r>
  </si>
  <si>
    <t>gumové pásy</t>
  </si>
  <si>
    <t>Odstranění vegetace, očištění, odtěžení</t>
  </si>
  <si>
    <t xml:space="preserve">kamenné vyzdívky </t>
  </si>
  <si>
    <t>m³</t>
  </si>
  <si>
    <t>Odstranění vegetace ze skalních ploch horolezeckou technikou včetně stažení dolů (odstranění popadaných stromů)</t>
  </si>
  <si>
    <t>(84*1,3*1)+(105*1,3*1)+(38*1,3*0,2)+(54*1,3*0,2)+(40*1,3*0,2)+(27*1,3*0,2)+(60*1,1*1)+(18*1,1*1)+(33*1,1*1)+(18*1,1*0,2)+(18*1,1*0,2)"plocha úseku x koeficient zohledňující členitost skalního masívu ks x rozsah zásahu v % pro redukci plochy svah ; plocha vegetace k odstranění"</t>
  </si>
  <si>
    <r>
      <rPr>
        <sz val="10"/>
        <color indexed="8"/>
        <rFont val="Arial CE"/>
        <family val="2"/>
      </rPr>
      <t>m</t>
    </r>
    <r>
      <rPr>
        <vertAlign val="superscript"/>
        <sz val="10"/>
        <color indexed="8"/>
        <rFont val="Arial CE"/>
        <family val="2"/>
      </rPr>
      <t>3</t>
    </r>
  </si>
  <si>
    <t>422 * 0,01 "plocha odstranění vegetace x objem. Koef.; odstranění křovin ve skal.stěně"</t>
  </si>
  <si>
    <t>+ dole napadaný materiál</t>
  </si>
  <si>
    <t>Odstranění pařezů D do 500 mm</t>
  </si>
  <si>
    <t>(84*1,3*0,3*1)+(105*1,3*0,3*1)+(38*1,3*0,3*1)+(54*1,3*0,3*1)+(40*1,3*0,3*1)+(27*1,3*0,3*1)+(60*1,1*0,1*1)+(18*1,1*0,1*1)+(33*1,1*0,2*1)+(18*1,1*0,2*1)+(18*1,1*0,2*1) "plocha úseku x koeficient zohledňující členitost skalního masívu ks x hloubka zásahu x rozsah zásahu v % pro redukci plochy svahu; objem materiálu ze skal.ploch"</t>
  </si>
  <si>
    <t>Ochranný plot výšky 3 m - těžký</t>
  </si>
  <si>
    <t>Odkopávky a prokopávky nezapažené v hornině tř. 5 objem do 1000 m3</t>
  </si>
  <si>
    <t>0,5*0,5*0,8*5 "délka x šířka x hloubka x počet patek; objem výkop.prací pro patky"</t>
  </si>
  <si>
    <t>Vrty do skalních stěn prováděné horolezeckou technikou, hloubky do 5 m, průběžným sacím vrtáním, průměru přes 93 do 156 mm, úklonu do 45°, v hornině třídy III a IV</t>
  </si>
  <si>
    <t>5 * 1,6 "(počet sloupků x hloubka vrtu; hloubka vrtů pro plot"</t>
  </si>
  <si>
    <t>Trn z injekčních zavrtávacích tyčí pro ploty s okem D 25 mm l do 2 m  včetně vrtu</t>
  </si>
  <si>
    <t>(5+2)"počet trnů pro kotvení sloupků do svahu+2 trny pro kotvení sloupků do boku; počet trnů pro kotvení plotu"</t>
  </si>
  <si>
    <t>Sloupky plotu osazené do vrtů, včetně vystředění a zalití cem. injekční směsí pro plot těžký, včetně dodání ocel. trubkek dl. přes 3 m, pr. do 89/10 mm</t>
  </si>
  <si>
    <t>(12/3)+1 "délka úseku/délka pole + 1 krajní sloupek; počet sloupků plotu"</t>
  </si>
  <si>
    <t xml:space="preserve">Ukotvení sloupku záchytného plotu lany </t>
  </si>
  <si>
    <t xml:space="preserve">Montáž pletiva na sloupky záchytného plotu </t>
  </si>
  <si>
    <t>12 * 3 "celková délka plotu x výška plotu; plocha pletiva plotu"</t>
  </si>
  <si>
    <t>Síť na skálu s oky 60x80mm; Galfan Galmac® + poplastování Ø 2,2/3,2 mm; 25 x 3 m</t>
  </si>
  <si>
    <t>36 * 1,2 "Plocha sítě včetně 20% na ohyby, prostřihy a profilaci dle skal.svahu"</t>
  </si>
  <si>
    <t xml:space="preserve">Montáž ztužujících lan k pletivu záchytného plotu </t>
  </si>
  <si>
    <t>(12 * 7)+(5 * 4)+(2 * 4 * 2) "ztužující lana k pletivu plotu"</t>
  </si>
  <si>
    <t>Lano ocelové šestipramenné Pz+PVC 6x19 drátů D 10,0/12,0mm</t>
  </si>
  <si>
    <t>120 * 1,2 "délka ztužujícího lana k pletivu plotu včetně 20% na ohyby, spojování a profilaci dle skal.svahu"</t>
  </si>
  <si>
    <t>Svorka pro ocelové lano D 10-12 mm</t>
  </si>
  <si>
    <t>(12/15)*3*7+(2*2*3)+(5*3*2) "počet svorek"</t>
  </si>
  <si>
    <t>Kroužky pr. dr 3 mm - 1600 ks/karton</t>
  </si>
  <si>
    <t>(36*8)*1,2 "(Plocha sítě*8 ks/m2)*1,2; počet spojovacího materiálu SPENAX "</t>
  </si>
  <si>
    <t>((π*(0,028^2) *7)* 2,0 * 1,22 * 2)+((π*(0,078^2)*5) * 1,6 * 1,22 * 2)"(objem vrtu x počet.sloupků a kotev.trnů x hloubka vrtu) x hmotnostní koeficient x zaplnění puklin v okolí vrtu; množství injekční směsi"</t>
  </si>
  <si>
    <t>(7 *2 * 0,15)+(5 *1,6 * 0,2) "počet sloupků a počet trnů * hloubka vrtu x hod/m vrtu; injektování"</t>
  </si>
  <si>
    <t>275 31-1127</t>
  </si>
  <si>
    <t>Základové konstrukce z betonu prostého, patky a bloky, ve výkopu, z betonu třídy C 20/25, včetně dodání a uložení betonu do připravené konstrukce</t>
  </si>
  <si>
    <t>0,5*0,5*0,8*5 "délka x šířka x hloubka x počet patek; množství betonu pro patky"</t>
  </si>
  <si>
    <t>((7 * 0,02) + (5 * 1,02))*2"(nátěr hlav kotevních prvků + nátěr sloupků) x počet nátěrů"</t>
  </si>
  <si>
    <t>Vodorovné přemístění větví, kmenů nebo pařezů s naložením, složením a dopravou do 5000 m pařezů kmenů, průměru přes 100 do 300 mm</t>
  </si>
  <si>
    <t>Vodorovné přemístění větví, kmenů nebo pařezů s naložením, složením a dopravou do 5000 m pařezů kmenů, průměru přes 300 do 500 mm</t>
  </si>
  <si>
    <t>Příplatek k cenám za každých dalších i započatých 5000 m přes 5000 m pařezů kmenů, průměru přes 100 do 300 mm</t>
  </si>
  <si>
    <t>15*2 "RC Dobkovice ve vzdálenosti 12 km; Přepočtené koeficientem množství"</t>
  </si>
  <si>
    <t>Příplatek k cenám za každých dalších i započatých 5000 m přes 5000 m pařezů kmenů, průměru přes 300 do 500 mm</t>
  </si>
  <si>
    <t>7*2 "RC Dobkovice ve vzdálenosti 12 km; Přepočtené koeficientem množství"</t>
  </si>
  <si>
    <t>Ruční vodorovné přemístění výkopku/sypaniny z horniny tř. 1 až 4 pomocí ručních stavebních koleček s naložením, složením -  vzdálenost 10 m</t>
  </si>
  <si>
    <t>pol.č.9,10,11 "Množství výkopku/sypaniny z horniny "</t>
  </si>
  <si>
    <t>Ruční vodorovné přemístění výkopku/sypaniny z horniny tř. 1 až 4 pomocí ručních stavebních koleček s naložením, složením -  příplatek za vzdálenost dalších 10 m</t>
  </si>
  <si>
    <t>191*1; "Mezideponie ve vzdálenosti 30 m"</t>
  </si>
  <si>
    <t>"Množství výkopku/sypaniny z horniny "</t>
  </si>
  <si>
    <t>191*5 "Skláadka SUEZ Ústí nad Labemve vzdálenosti 15 km"</t>
  </si>
  <si>
    <t>Nakládání výkopku z hornin tř. 1 až 4</t>
  </si>
  <si>
    <t>"Nakládání suti na mezideponii "</t>
  </si>
  <si>
    <t>Poplatek za uložení stavebního odpadu - větví, kmenů nebo pařezů</t>
  </si>
  <si>
    <t>%</t>
  </si>
  <si>
    <t>DSPS</t>
  </si>
  <si>
    <t>Geotechnický dozor</t>
  </si>
  <si>
    <t>Geodetické práce při výstavbě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</si>
</sst>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&quot;.&quot;mm&quot;.&quot;yyyy"/>
    <numFmt numFmtId="60" formatCode="#,##0.000"/>
  </numFmts>
  <fonts count="25">
    <font>
      <sz val="8"/>
      <color indexed="8"/>
      <name val="Arial CE"/>
      <family val="2"/>
    </font>
    <font>
      <sz val="10"/>
      <name val="Arial"/>
      <family val="2"/>
    </font>
    <font>
      <sz val="15"/>
      <color indexed="8"/>
      <name val="Calibri"/>
      <family val="2"/>
    </font>
    <font>
      <sz val="8"/>
      <color indexed="9"/>
      <name val="Arial CE"/>
      <family val="2"/>
    </font>
    <font>
      <b/>
      <sz val="14"/>
      <color indexed="8"/>
      <name val="Arial CE"/>
      <family val="2"/>
    </font>
    <font>
      <sz val="10"/>
      <color indexed="11"/>
      <name val="Arial CE"/>
      <family val="2"/>
    </font>
    <font>
      <sz val="10"/>
      <color indexed="8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color indexed="14"/>
      <name val="Arial CE"/>
      <family val="2"/>
    </font>
    <font>
      <sz val="10"/>
      <color indexed="14"/>
      <name val="Arial CE"/>
      <family val="2"/>
    </font>
    <font>
      <sz val="8"/>
      <color indexed="14"/>
      <name val="Arial CE"/>
      <family val="2"/>
    </font>
    <font>
      <sz val="10"/>
      <color indexed="14"/>
      <name val="Arial ce"/>
      <family val="2"/>
    </font>
    <font>
      <sz val="8"/>
      <color indexed="16"/>
      <name val="Arial ce"/>
      <family val="2"/>
    </font>
    <font>
      <b/>
      <sz val="10"/>
      <color indexed="14"/>
      <name val="Arial CE"/>
      <family val="2"/>
    </font>
    <font>
      <b/>
      <sz val="10"/>
      <color indexed="14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1"/>
      <color indexed="8"/>
      <name val="Arial CE"/>
      <family val="2"/>
    </font>
    <font>
      <sz val="9"/>
      <color indexed="9"/>
      <name val="Arial CE"/>
      <family val="2"/>
    </font>
    <font>
      <vertAlign val="superscript"/>
      <sz val="10"/>
      <color indexed="8"/>
      <name val="Arial CE"/>
      <family val="2"/>
    </font>
    <font>
      <b/>
      <sz val="9"/>
      <color indexed="9"/>
      <name val="Arial CE"/>
      <family val="2"/>
    </font>
    <font>
      <sz val="9"/>
      <color indexed="16"/>
      <name val="Arial CE"/>
      <family val="2"/>
    </font>
    <font>
      <sz val="9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medium">
        <color indexed="8"/>
      </bottom>
    </border>
    <border>
      <left style="thin">
        <color indexed="10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right"/>
    </xf>
    <xf numFmtId="59" fontId="6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 vertical="center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8" fillId="3" borderId="14" xfId="0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4" fontId="6" fillId="2" borderId="21" xfId="0" applyNumberFormat="1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4" fontId="9" fillId="3" borderId="2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" fontId="0" fillId="2" borderId="10" xfId="0" applyNumberFormat="1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4" fontId="1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2" borderId="23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9" fontId="8" fillId="3" borderId="25" xfId="0" applyNumberFormat="1" applyFont="1" applyFill="1" applyBorder="1" applyAlignment="1">
      <alignment horizontal="center" vertical="center" wrapText="1"/>
    </xf>
    <xf numFmtId="49" fontId="8" fillId="3" borderId="26" xfId="0" applyNumberFormat="1" applyFont="1" applyFill="1" applyBorder="1" applyAlignment="1">
      <alignment horizontal="center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/>
    </xf>
    <xf numFmtId="0" fontId="8" fillId="3" borderId="29" xfId="0" applyFont="1" applyFill="1" applyBorder="1" applyAlignment="1">
      <alignment horizontal="center" vertical="center" wrapText="1"/>
    </xf>
    <xf numFmtId="49" fontId="8" fillId="3" borderId="30" xfId="0" applyNumberFormat="1" applyFont="1" applyFill="1" applyBorder="1" applyAlignment="1">
      <alignment horizontal="center" vertical="center" wrapText="1"/>
    </xf>
    <xf numFmtId="49" fontId="8" fillId="3" borderId="31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4" fontId="8" fillId="4" borderId="21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/>
    </xf>
    <xf numFmtId="0" fontId="11" fillId="2" borderId="33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left" vertical="center" wrapText="1"/>
    </xf>
    <xf numFmtId="60" fontId="11" fillId="2" borderId="26" xfId="0" applyNumberFormat="1" applyFont="1" applyFill="1" applyBorder="1" applyAlignment="1">
      <alignment horizontal="right"/>
    </xf>
    <xf numFmtId="4" fontId="11" fillId="2" borderId="26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60" fontId="11" fillId="2" borderId="35" xfId="0" applyNumberFormat="1" applyFont="1" applyFill="1" applyBorder="1" applyAlignment="1">
      <alignment horizontal="right"/>
    </xf>
    <xf numFmtId="4" fontId="11" fillId="2" borderId="35" xfId="0" applyNumberFormat="1" applyFont="1" applyFill="1" applyBorder="1" applyAlignment="1">
      <alignment horizontal="right"/>
    </xf>
    <xf numFmtId="4" fontId="11" fillId="2" borderId="36" xfId="0" applyNumberFormat="1" applyFont="1" applyFill="1" applyBorder="1" applyAlignment="1">
      <alignment horizontal="right"/>
    </xf>
    <xf numFmtId="0" fontId="11" fillId="2" borderId="34" xfId="0" applyNumberFormat="1" applyFont="1" applyFill="1" applyBorder="1" applyAlignment="1">
      <alignment horizontal="center" vertical="center" wrapText="1"/>
    </xf>
    <xf numFmtId="49" fontId="11" fillId="2" borderId="35" xfId="0" applyNumberFormat="1" applyFont="1" applyFill="1" applyBorder="1" applyAlignment="1">
      <alignment horizontal="center" vertical="center" wrapText="1"/>
    </xf>
    <xf numFmtId="0" fontId="11" fillId="2" borderId="37" xfId="0" applyNumberFormat="1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horizontal="left" vertical="center" wrapText="1"/>
    </xf>
    <xf numFmtId="60" fontId="11" fillId="2" borderId="30" xfId="0" applyNumberFormat="1" applyFont="1" applyFill="1" applyBorder="1" applyAlignment="1">
      <alignment horizontal="right"/>
    </xf>
    <xf numFmtId="4" fontId="11" fillId="2" borderId="30" xfId="0" applyNumberFormat="1" applyFont="1" applyFill="1" applyBorder="1" applyAlignment="1">
      <alignment horizontal="right"/>
    </xf>
    <xf numFmtId="4" fontId="11" fillId="2" borderId="32" xfId="0" applyNumberFormat="1" applyFont="1" applyFill="1" applyBorder="1" applyAlignment="1">
      <alignment horizontal="right"/>
    </xf>
    <xf numFmtId="0" fontId="11" fillId="2" borderId="33" xfId="0" applyNumberFormat="1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/>
    </xf>
    <xf numFmtId="0" fontId="11" fillId="2" borderId="34" xfId="0" applyNumberFormat="1" applyFont="1" applyFill="1" applyBorder="1" applyAlignment="1">
      <alignment horizontal="center" vertical="center"/>
    </xf>
    <xf numFmtId="0" fontId="11" fillId="2" borderId="35" xfId="0" applyNumberFormat="1" applyFont="1" applyFill="1" applyBorder="1" applyAlignment="1">
      <alignment horizontal="center" vertical="center"/>
    </xf>
    <xf numFmtId="60" fontId="11" fillId="2" borderId="35" xfId="0" applyNumberFormat="1" applyFont="1" applyFill="1" applyBorder="1" applyAlignment="1">
      <alignment horizontal="right" vertical="center"/>
    </xf>
    <xf numFmtId="4" fontId="11" fillId="2" borderId="35" xfId="0" applyNumberFormat="1" applyFont="1" applyFill="1" applyBorder="1" applyAlignment="1">
      <alignment horizontal="right" vertical="center"/>
    </xf>
    <xf numFmtId="4" fontId="11" fillId="2" borderId="36" xfId="0" applyNumberFormat="1" applyFont="1" applyFill="1" applyBorder="1" applyAlignment="1">
      <alignment horizontal="righ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60" fontId="6" fillId="2" borderId="35" xfId="0" applyNumberFormat="1" applyFont="1" applyFill="1" applyBorder="1" applyAlignment="1">
      <alignment horizontal="right" vertical="center"/>
    </xf>
    <xf numFmtId="49" fontId="13" fillId="2" borderId="13" xfId="0" applyNumberFormat="1" applyFont="1" applyFill="1" applyBorder="1" applyAlignment="1">
      <alignment/>
    </xf>
    <xf numFmtId="49" fontId="14" fillId="2" borderId="13" xfId="0" applyNumberFormat="1" applyFont="1" applyFill="1" applyBorder="1" applyAlignment="1">
      <alignment horizontal="right" vertical="center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60" fontId="11" fillId="2" borderId="30" xfId="0" applyNumberFormat="1" applyFont="1" applyFill="1" applyBorder="1" applyAlignment="1">
      <alignment horizontal="right" vertical="center"/>
    </xf>
    <xf numFmtId="4" fontId="11" fillId="2" borderId="30" xfId="0" applyNumberFormat="1" applyFont="1" applyFill="1" applyBorder="1" applyAlignment="1">
      <alignment horizontal="right" vertical="center"/>
    </xf>
    <xf numFmtId="4" fontId="11" fillId="2" borderId="32" xfId="0" applyNumberFormat="1" applyFont="1" applyFill="1" applyBorder="1" applyAlignment="1">
      <alignment horizontal="right" vertical="center"/>
    </xf>
    <xf numFmtId="60" fontId="11" fillId="2" borderId="26" xfId="0" applyNumberFormat="1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horizontal="right" vertical="center"/>
    </xf>
    <xf numFmtId="4" fontId="11" fillId="2" borderId="28" xfId="0" applyNumberFormat="1" applyFont="1" applyFill="1" applyBorder="1" applyAlignment="1">
      <alignment horizontal="right" vertical="center"/>
    </xf>
    <xf numFmtId="49" fontId="12" fillId="2" borderId="13" xfId="0" applyNumberFormat="1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60" fontId="6" fillId="2" borderId="35" xfId="0" applyNumberFormat="1" applyFont="1" applyFill="1" applyBorder="1" applyAlignment="1">
      <alignment horizontal="right"/>
    </xf>
    <xf numFmtId="0" fontId="11" fillId="2" borderId="37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60" fontId="6" fillId="2" borderId="30" xfId="0" applyNumberFormat="1" applyFont="1" applyFill="1" applyBorder="1" applyAlignment="1">
      <alignment horizontal="right"/>
    </xf>
    <xf numFmtId="49" fontId="8" fillId="4" borderId="38" xfId="0" applyNumberFormat="1" applyFont="1" applyFill="1" applyBorder="1" applyAlignment="1">
      <alignment horizontal="left" vertical="center" wrapText="1"/>
    </xf>
    <xf numFmtId="0" fontId="8" fillId="4" borderId="39" xfId="0" applyFont="1" applyFill="1" applyBorder="1" applyAlignment="1">
      <alignment horizontal="left" vertical="center" wrapText="1"/>
    </xf>
    <xf numFmtId="4" fontId="8" fillId="4" borderId="40" xfId="0" applyNumberFormat="1" applyFont="1" applyFill="1" applyBorder="1" applyAlignment="1">
      <alignment vertical="center" wrapText="1"/>
    </xf>
    <xf numFmtId="60" fontId="6" fillId="2" borderId="30" xfId="0" applyNumberFormat="1" applyFont="1" applyFill="1" applyBorder="1" applyAlignment="1">
      <alignment horizontal="right" vertical="center"/>
    </xf>
    <xf numFmtId="49" fontId="15" fillId="4" borderId="38" xfId="0" applyNumberFormat="1" applyFont="1" applyFill="1" applyBorder="1" applyAlignment="1">
      <alignment horizontal="left" vertical="center" wrapText="1"/>
    </xf>
    <xf numFmtId="0" fontId="15" fillId="4" borderId="39" xfId="0" applyFont="1" applyFill="1" applyBorder="1" applyAlignment="1">
      <alignment horizontal="left" vertical="center" wrapText="1"/>
    </xf>
    <xf numFmtId="4" fontId="15" fillId="4" borderId="40" xfId="0" applyNumberFormat="1" applyFont="1" applyFill="1" applyBorder="1" applyAlignment="1">
      <alignment vertical="center" wrapText="1"/>
    </xf>
    <xf numFmtId="49" fontId="11" fillId="2" borderId="35" xfId="0" applyNumberFormat="1" applyFont="1" applyFill="1" applyBorder="1" applyAlignment="1">
      <alignment vertical="center" wrapText="1"/>
    </xf>
    <xf numFmtId="0" fontId="0" fillId="2" borderId="13" xfId="0" applyFont="1" applyFill="1" applyBorder="1" applyAlignment="1">
      <alignment/>
    </xf>
    <xf numFmtId="49" fontId="13" fillId="2" borderId="13" xfId="0" applyNumberFormat="1" applyFont="1" applyFill="1" applyBorder="1" applyAlignment="1">
      <alignment horizontal="left"/>
    </xf>
    <xf numFmtId="0" fontId="11" fillId="2" borderId="34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11" fillId="2" borderId="37" xfId="0" applyNumberFormat="1" applyFont="1" applyFill="1" applyBorder="1" applyAlignment="1">
      <alignment horizontal="center" vertical="center"/>
    </xf>
    <xf numFmtId="0" fontId="11" fillId="2" borderId="30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11" xfId="0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/>
    </xf>
    <xf numFmtId="49" fontId="8" fillId="5" borderId="25" xfId="0" applyNumberFormat="1" applyFont="1" applyFill="1" applyBorder="1" applyAlignment="1">
      <alignment horizontal="center" vertical="center" wrapText="1"/>
    </xf>
    <xf numFmtId="49" fontId="8" fillId="5" borderId="26" xfId="0" applyNumberFormat="1" applyFont="1" applyFill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49" fontId="8" fillId="5" borderId="41" xfId="0" applyNumberFormat="1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/>
    </xf>
    <xf numFmtId="49" fontId="17" fillId="2" borderId="0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center" vertical="center" wrapText="1"/>
    </xf>
    <xf numFmtId="49" fontId="8" fillId="5" borderId="30" xfId="0" applyNumberFormat="1" applyFont="1" applyFill="1" applyBorder="1" applyAlignment="1">
      <alignment horizontal="center" vertical="center" wrapText="1"/>
    </xf>
    <xf numFmtId="49" fontId="8" fillId="5" borderId="31" xfId="0" applyNumberFormat="1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49" fontId="8" fillId="5" borderId="3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/>
    </xf>
    <xf numFmtId="0" fontId="17" fillId="2" borderId="0" xfId="0" applyNumberFormat="1" applyFont="1" applyFill="1" applyBorder="1" applyAlignment="1">
      <alignment horizontal="left" vertical="center"/>
    </xf>
    <xf numFmtId="0" fontId="18" fillId="2" borderId="0" xfId="0" applyNumberFormat="1" applyFont="1" applyFill="1" applyBorder="1" applyAlignment="1">
      <alignment horizontal="left" vertical="center"/>
    </xf>
    <xf numFmtId="49" fontId="19" fillId="3" borderId="19" xfId="0" applyNumberFormat="1" applyFont="1" applyFill="1" applyBorder="1" applyAlignment="1">
      <alignment horizontal="left" vertical="center" wrapText="1"/>
    </xf>
    <xf numFmtId="0" fontId="19" fillId="3" borderId="20" xfId="0" applyFont="1" applyFill="1" applyBorder="1" applyAlignment="1">
      <alignment horizontal="left" vertical="center" wrapText="1"/>
    </xf>
    <xf numFmtId="4" fontId="19" fillId="3" borderId="21" xfId="0" applyNumberFormat="1" applyFont="1" applyFill="1" applyBorder="1" applyAlignment="1">
      <alignment vertical="center" wrapText="1"/>
    </xf>
    <xf numFmtId="0" fontId="17" fillId="2" borderId="0" xfId="0" applyNumberFormat="1" applyFont="1" applyFill="1" applyBorder="1" applyAlignment="1">
      <alignment horizontal="center" vertical="center"/>
    </xf>
    <xf numFmtId="0" fontId="6" fillId="4" borderId="33" xfId="0" applyNumberFormat="1" applyFont="1" applyFill="1" applyBorder="1" applyAlignment="1">
      <alignment horizontal="center" vertical="center" wrapText="1"/>
    </xf>
    <xf numFmtId="49" fontId="6" fillId="4" borderId="26" xfId="0" applyNumberFormat="1" applyFont="1" applyFill="1" applyBorder="1" applyAlignment="1">
      <alignment horizontal="center" vertical="center" wrapText="1"/>
    </xf>
    <xf numFmtId="49" fontId="6" fillId="4" borderId="26" xfId="0" applyNumberFormat="1" applyFont="1" applyFill="1" applyBorder="1" applyAlignment="1">
      <alignment horizontal="left" vertical="center" wrapText="1"/>
    </xf>
    <xf numFmtId="60" fontId="6" fillId="4" borderId="26" xfId="0" applyNumberFormat="1" applyFont="1" applyFill="1" applyBorder="1" applyAlignment="1">
      <alignment horizontal="right" vertical="center"/>
    </xf>
    <xf numFmtId="4" fontId="6" fillId="4" borderId="26" xfId="0" applyNumberFormat="1" applyFont="1" applyFill="1" applyBorder="1" applyAlignment="1">
      <alignment horizontal="right" vertical="center"/>
    </xf>
    <xf numFmtId="4" fontId="6" fillId="4" borderId="28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/>
    </xf>
    <xf numFmtId="0" fontId="17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6" fillId="4" borderId="34" xfId="0" applyNumberFormat="1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center" vertical="center" wrapText="1"/>
    </xf>
    <xf numFmtId="49" fontId="6" fillId="4" borderId="35" xfId="0" applyNumberFormat="1" applyFont="1" applyFill="1" applyBorder="1" applyAlignment="1">
      <alignment horizontal="left" vertical="center" wrapText="1"/>
    </xf>
    <xf numFmtId="60" fontId="6" fillId="4" borderId="35" xfId="0" applyNumberFormat="1" applyFont="1" applyFill="1" applyBorder="1" applyAlignment="1">
      <alignment horizontal="right" vertical="center"/>
    </xf>
    <xf numFmtId="4" fontId="6" fillId="4" borderId="35" xfId="0" applyNumberFormat="1" applyFont="1" applyFill="1" applyBorder="1" applyAlignment="1">
      <alignment horizontal="right" vertical="center"/>
    </xf>
    <xf numFmtId="4" fontId="6" fillId="4" borderId="36" xfId="0" applyNumberFormat="1" applyFont="1" applyFill="1" applyBorder="1" applyAlignment="1">
      <alignment horizontal="right" vertical="center"/>
    </xf>
    <xf numFmtId="0" fontId="20" fillId="2" borderId="13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6" fillId="4" borderId="37" xfId="0" applyNumberFormat="1" applyFont="1" applyFill="1" applyBorder="1" applyAlignment="1">
      <alignment horizontal="center" vertical="center" wrapText="1"/>
    </xf>
    <xf numFmtId="49" fontId="6" fillId="4" borderId="30" xfId="0" applyNumberFormat="1" applyFont="1" applyFill="1" applyBorder="1" applyAlignment="1">
      <alignment horizontal="center" vertical="center" wrapText="1"/>
    </xf>
    <xf numFmtId="49" fontId="6" fillId="4" borderId="30" xfId="0" applyNumberFormat="1" applyFont="1" applyFill="1" applyBorder="1" applyAlignment="1">
      <alignment horizontal="left" vertical="center" wrapText="1"/>
    </xf>
    <xf numFmtId="60" fontId="6" fillId="4" borderId="30" xfId="0" applyNumberFormat="1" applyFont="1" applyFill="1" applyBorder="1" applyAlignment="1">
      <alignment horizontal="right" vertical="center"/>
    </xf>
    <xf numFmtId="4" fontId="6" fillId="4" borderId="30" xfId="0" applyNumberFormat="1" applyFont="1" applyFill="1" applyBorder="1" applyAlignment="1">
      <alignment horizontal="right" vertical="center"/>
    </xf>
    <xf numFmtId="4" fontId="6" fillId="4" borderId="32" xfId="0" applyNumberFormat="1" applyFont="1" applyFill="1" applyBorder="1" applyAlignment="1">
      <alignment horizontal="right" vertical="center"/>
    </xf>
    <xf numFmtId="0" fontId="20" fillId="2" borderId="13" xfId="0" applyFont="1" applyFill="1" applyBorder="1" applyAlignment="1">
      <alignment horizontal="left"/>
    </xf>
    <xf numFmtId="0" fontId="20" fillId="2" borderId="0" xfId="0" applyNumberFormat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0" fontId="20" fillId="2" borderId="5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6" fillId="4" borderId="33" xfId="0" applyNumberFormat="1" applyFont="1" applyFill="1" applyBorder="1" applyAlignment="1">
      <alignment horizontal="center" vertical="center"/>
    </xf>
    <xf numFmtId="0" fontId="6" fillId="4" borderId="26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/>
    </xf>
    <xf numFmtId="0" fontId="18" fillId="2" borderId="0" xfId="0" applyNumberFormat="1" applyFont="1" applyFill="1" applyBorder="1" applyAlignment="1">
      <alignment horizontal="left"/>
    </xf>
    <xf numFmtId="0" fontId="23" fillId="2" borderId="34" xfId="0" applyFont="1" applyFill="1" applyBorder="1" applyAlignment="1">
      <alignment horizontal="left" vertical="center" wrapText="1"/>
    </xf>
    <xf numFmtId="0" fontId="23" fillId="2" borderId="35" xfId="0" applyFont="1" applyFill="1" applyBorder="1" applyAlignment="1">
      <alignment horizontal="left" vertical="center" wrapText="1"/>
    </xf>
    <xf numFmtId="49" fontId="23" fillId="2" borderId="35" xfId="0" applyNumberFormat="1" applyFont="1" applyFill="1" applyBorder="1" applyAlignment="1">
      <alignment horizontal="left" vertical="center" wrapText="1"/>
    </xf>
    <xf numFmtId="60" fontId="23" fillId="2" borderId="35" xfId="0" applyNumberFormat="1" applyFont="1" applyFill="1" applyBorder="1" applyAlignment="1">
      <alignment horizontal="right" vertical="center"/>
    </xf>
    <xf numFmtId="4" fontId="23" fillId="2" borderId="35" xfId="0" applyNumberFormat="1" applyFont="1" applyFill="1" applyBorder="1" applyAlignment="1">
      <alignment horizontal="right" vertical="center"/>
    </xf>
    <xf numFmtId="4" fontId="23" fillId="2" borderId="36" xfId="0" applyNumberFormat="1" applyFont="1" applyFill="1" applyBorder="1" applyAlignment="1">
      <alignment horizontal="right" vertical="center"/>
    </xf>
    <xf numFmtId="0" fontId="17" fillId="2" borderId="13" xfId="0" applyNumberFormat="1" applyFont="1" applyFill="1" applyBorder="1" applyAlignment="1">
      <alignment/>
    </xf>
    <xf numFmtId="0" fontId="20" fillId="2" borderId="0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6" fillId="4" borderId="34" xfId="0" applyNumberFormat="1" applyFont="1" applyFill="1" applyBorder="1" applyAlignment="1">
      <alignment horizontal="center" vertical="center"/>
    </xf>
    <xf numFmtId="0" fontId="6" fillId="4" borderId="35" xfId="0" applyNumberFormat="1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left" vertical="center"/>
    </xf>
    <xf numFmtId="0" fontId="6" fillId="4" borderId="35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9" fontId="6" fillId="4" borderId="35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23" fillId="2" borderId="37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49" fontId="23" fillId="2" borderId="30" xfId="0" applyNumberFormat="1" applyFont="1" applyFill="1" applyBorder="1" applyAlignment="1">
      <alignment horizontal="left" vertical="center" wrapText="1"/>
    </xf>
    <xf numFmtId="60" fontId="23" fillId="2" borderId="30" xfId="0" applyNumberFormat="1" applyFont="1" applyFill="1" applyBorder="1" applyAlignment="1">
      <alignment horizontal="right" vertical="center"/>
    </xf>
    <xf numFmtId="4" fontId="23" fillId="2" borderId="30" xfId="0" applyNumberFormat="1" applyFont="1" applyFill="1" applyBorder="1" applyAlignment="1">
      <alignment horizontal="right" vertical="center"/>
    </xf>
    <xf numFmtId="4" fontId="23" fillId="2" borderId="32" xfId="0" applyNumberFormat="1" applyFont="1" applyFill="1" applyBorder="1" applyAlignment="1">
      <alignment horizontal="right" vertical="center"/>
    </xf>
    <xf numFmtId="2" fontId="22" fillId="2" borderId="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left" vertical="center"/>
    </xf>
    <xf numFmtId="0" fontId="23" fillId="2" borderId="7" xfId="0" applyFont="1" applyFill="1" applyBorder="1" applyAlignment="1">
      <alignment/>
    </xf>
    <xf numFmtId="0" fontId="6" fillId="4" borderId="26" xfId="0" applyNumberFormat="1" applyFont="1" applyFill="1" applyBorder="1" applyAlignment="1">
      <alignment horizontal="center" vertical="center" wrapText="1"/>
    </xf>
    <xf numFmtId="49" fontId="6" fillId="4" borderId="26" xfId="0" applyNumberFormat="1" applyFont="1" applyFill="1" applyBorder="1" applyAlignment="1">
      <alignment vertical="center" wrapText="1"/>
    </xf>
    <xf numFmtId="2" fontId="20" fillId="2" borderId="0" xfId="0" applyNumberFormat="1" applyFont="1" applyFill="1" applyBorder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0" fontId="23" fillId="2" borderId="35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/>
    </xf>
    <xf numFmtId="2" fontId="17" fillId="2" borderId="0" xfId="0" applyNumberFormat="1" applyFont="1" applyFill="1" applyBorder="1" applyAlignment="1">
      <alignment/>
    </xf>
    <xf numFmtId="49" fontId="6" fillId="4" borderId="35" xfId="0" applyNumberFormat="1" applyFont="1" applyFill="1" applyBorder="1" applyAlignment="1">
      <alignment horizontal="left" vertical="center"/>
    </xf>
    <xf numFmtId="49" fontId="6" fillId="4" borderId="35" xfId="0" applyNumberFormat="1" applyFont="1" applyFill="1" applyBorder="1" applyAlignment="1">
      <alignment vertical="center" wrapText="1"/>
    </xf>
    <xf numFmtId="0" fontId="24" fillId="2" borderId="0" xfId="0" applyFont="1" applyFill="1" applyBorder="1" applyAlignment="1">
      <alignment/>
    </xf>
    <xf numFmtId="60" fontId="24" fillId="2" borderId="0" xfId="0" applyNumberFormat="1" applyFont="1" applyFill="1" applyBorder="1" applyAlignment="1">
      <alignment/>
    </xf>
    <xf numFmtId="0" fontId="24" fillId="2" borderId="5" xfId="0" applyFont="1" applyFill="1" applyBorder="1" applyAlignment="1">
      <alignment/>
    </xf>
    <xf numFmtId="0" fontId="23" fillId="2" borderId="37" xfId="0" applyFont="1" applyFill="1" applyBorder="1" applyAlignment="1">
      <alignment horizontal="left" vertical="center"/>
    </xf>
    <xf numFmtId="0" fontId="23" fillId="2" borderId="30" xfId="0" applyFont="1" applyFill="1" applyBorder="1" applyAlignment="1">
      <alignment horizontal="left" vertical="center"/>
    </xf>
    <xf numFmtId="0" fontId="23" fillId="2" borderId="19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 wrapText="1"/>
    </xf>
    <xf numFmtId="60" fontId="23" fillId="2" borderId="20" xfId="0" applyNumberFormat="1" applyFont="1" applyFill="1" applyBorder="1" applyAlignment="1">
      <alignment horizontal="right" vertical="center"/>
    </xf>
    <xf numFmtId="4" fontId="23" fillId="2" borderId="20" xfId="0" applyNumberFormat="1" applyFont="1" applyFill="1" applyBorder="1" applyAlignment="1">
      <alignment horizontal="right" vertical="center"/>
    </xf>
    <xf numFmtId="4" fontId="23" fillId="2" borderId="21" xfId="0" applyNumberFormat="1" applyFont="1" applyFill="1" applyBorder="1" applyAlignment="1">
      <alignment horizontal="right" vertical="center"/>
    </xf>
    <xf numFmtId="0" fontId="6" fillId="4" borderId="37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49" fontId="19" fillId="5" borderId="19" xfId="0" applyNumberFormat="1" applyFont="1" applyFill="1" applyBorder="1" applyAlignment="1">
      <alignment horizontal="right" vertical="center"/>
    </xf>
    <xf numFmtId="4" fontId="19" fillId="5" borderId="21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/>
    </xf>
    <xf numFmtId="0" fontId="24" fillId="2" borderId="23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969696"/>
      <rgbColor rgb="00D8D8D8"/>
      <rgbColor rgb="00FF0000"/>
      <rgbColor rgb="00F2F2F2"/>
      <rgbColor rgb="003F3F3F"/>
      <rgbColor rgb="00BFBFB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8</xdr:col>
      <xdr:colOff>57150</xdr:colOff>
      <xdr:row>7</xdr:row>
      <xdr:rowOff>28575</xdr:rowOff>
    </xdr:to>
    <xdr:sp>
      <xdr:nvSpPr>
        <xdr:cNvPr id="2" name="Obrázek 1"/>
        <xdr:cNvSpPr/>
      </xdr:nvSpPr>
      <xdr:spPr>
        <a:xfrm>
          <a:off x="9220200" y="0"/>
          <a:ext cx="2800350" cy="1295400"/>
        </a:xfrm>
        <a:prstGeom prst="rect">
          <a:avLst/>
        </a:prstGeom>
        <a:solidFill>
          <a:srgbClr val="FFFFFF"/>
        </a:solidFill>
        <a:ln w="12700" cap="flat">
          <a:noFill/>
        </a:ln>
      </xdr:spPr>
      <xdr:txBody>
        <a:bodyPr/>
        <a:lstStyle/>
        <a:p>
          <a:pPr/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8"/>
  <sheetViews>
    <sheetView showGridLines="0" tabSelected="1" workbookViewId="0" topLeftCell="A1"/>
  </sheetViews>
  <sheetFormatPr defaultColWidth="9.28125" defaultRowHeight="9.75" customHeight="1"/>
  <cols>
    <col min="1" max="1" width="2.00390625" style="1" customWidth="1"/>
    <col min="2" max="2" width="12.28125" style="1" customWidth="1"/>
    <col min="3" max="3" width="84.421875" style="1" customWidth="1"/>
    <col min="4" max="4" width="11.7109375" style="1" customWidth="1"/>
    <col min="5" max="5" width="13.28125" style="1" customWidth="1"/>
    <col min="6" max="6" width="16.28125" style="1" customWidth="1"/>
    <col min="7" max="7" width="25.7109375" style="1" customWidth="1"/>
    <col min="8" max="9" width="9.28125" style="1" customWidth="1"/>
    <col min="10" max="10" width="11.7109375" style="1" customWidth="1"/>
    <col min="11" max="11" width="12.00390625" style="1" customWidth="1"/>
    <col min="12" max="40" width="9.28125" style="1" customWidth="1"/>
    <col min="41" max="16384" width="9.28125" style="1" customWidth="1"/>
  </cols>
  <sheetData>
    <row r="1" spans="1:40" ht="10.2" customHeight="1">
      <c r="A1" s="2"/>
      <c r="B1" s="3"/>
      <c r="C1" s="3"/>
      <c r="D1" s="4"/>
      <c r="E1" s="4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7"/>
    </row>
    <row r="2" spans="1:40" ht="24.9" customHeight="1">
      <c r="A2" s="8"/>
      <c r="B2" s="9" t="s">
        <v>0</v>
      </c>
      <c r="C2" s="10"/>
      <c r="D2" s="11"/>
      <c r="E2" s="12"/>
      <c r="F2" s="12"/>
      <c r="G2" s="12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5"/>
    </row>
    <row r="3" spans="1:40" ht="8" customHeight="1">
      <c r="A3" s="8"/>
      <c r="B3" s="16"/>
      <c r="C3" s="10"/>
      <c r="D3" s="11"/>
      <c r="E3" s="12"/>
      <c r="F3" s="12"/>
      <c r="G3" s="12"/>
      <c r="H3" s="13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5"/>
    </row>
    <row r="4" spans="1:40" ht="12" customHeight="1">
      <c r="A4" s="8"/>
      <c r="B4" s="17" t="s">
        <v>1</v>
      </c>
      <c r="C4" s="18" t="s">
        <v>2</v>
      </c>
      <c r="D4" s="19"/>
      <c r="E4" s="20"/>
      <c r="F4" s="21"/>
      <c r="G4" s="21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1:40" ht="16.5" customHeight="1">
      <c r="A5" s="8"/>
      <c r="B5" s="22"/>
      <c r="C5" s="19"/>
      <c r="D5" s="19"/>
      <c r="E5" s="20"/>
      <c r="F5" s="21"/>
      <c r="G5" s="2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5"/>
    </row>
    <row r="6" spans="1:40" ht="13.2" customHeight="1">
      <c r="A6" s="8"/>
      <c r="B6" s="22"/>
      <c r="C6" s="19"/>
      <c r="D6" s="19"/>
      <c r="E6" s="20"/>
      <c r="F6" s="21"/>
      <c r="G6" s="21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5"/>
    </row>
    <row r="7" spans="1:40" ht="13.2" customHeight="1">
      <c r="A7" s="8"/>
      <c r="B7" s="17" t="s">
        <v>3</v>
      </c>
      <c r="C7" s="18" t="s">
        <v>4</v>
      </c>
      <c r="D7" s="19"/>
      <c r="E7" s="20"/>
      <c r="F7" s="21"/>
      <c r="G7" s="21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5"/>
    </row>
    <row r="8" spans="1:40" ht="13.2" customHeight="1">
      <c r="A8" s="8"/>
      <c r="B8" s="22"/>
      <c r="C8" s="19"/>
      <c r="D8" s="19"/>
      <c r="E8" s="20"/>
      <c r="F8" s="21"/>
      <c r="G8" s="21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</row>
    <row r="9" spans="1:40" ht="13.2" customHeight="1">
      <c r="A9" s="8"/>
      <c r="B9" s="22"/>
      <c r="C9" s="19"/>
      <c r="D9" s="19"/>
      <c r="E9" s="20"/>
      <c r="F9" s="21"/>
      <c r="G9" s="21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5"/>
    </row>
    <row r="10" spans="1:40" ht="12" customHeight="1">
      <c r="A10" s="8"/>
      <c r="B10" s="17" t="s">
        <v>5</v>
      </c>
      <c r="C10" s="23" t="s">
        <v>6</v>
      </c>
      <c r="D10" s="24"/>
      <c r="E10" s="25"/>
      <c r="F10" s="26" t="s">
        <v>7</v>
      </c>
      <c r="G10" s="27"/>
      <c r="H10" s="28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</row>
    <row r="11" spans="1:40" ht="13.2" customHeight="1">
      <c r="A11" s="8"/>
      <c r="B11" s="22"/>
      <c r="C11" s="29"/>
      <c r="D11" s="24"/>
      <c r="E11" s="25"/>
      <c r="F11" s="21"/>
      <c r="G11" s="21"/>
      <c r="H11" s="2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5"/>
    </row>
    <row r="12" spans="1:40" ht="13.2" customHeight="1">
      <c r="A12" s="8"/>
      <c r="B12" s="17" t="s">
        <v>8</v>
      </c>
      <c r="C12" s="23" t="s">
        <v>9</v>
      </c>
      <c r="D12" s="24"/>
      <c r="E12" s="25"/>
      <c r="F12" s="26" t="s">
        <v>10</v>
      </c>
      <c r="G12" s="20"/>
      <c r="H12" s="2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5"/>
    </row>
    <row r="13" spans="1:40" ht="13.2" customHeight="1">
      <c r="A13" s="8"/>
      <c r="B13" s="22"/>
      <c r="C13" s="29"/>
      <c r="D13" s="24"/>
      <c r="E13" s="25"/>
      <c r="F13" s="30"/>
      <c r="G13" s="20"/>
      <c r="H13" s="2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5"/>
    </row>
    <row r="14" spans="1:40" ht="13.2" customHeight="1">
      <c r="A14" s="8"/>
      <c r="B14" s="17" t="s">
        <v>11</v>
      </c>
      <c r="C14" s="31"/>
      <c r="D14" s="24"/>
      <c r="E14" s="25"/>
      <c r="F14" s="26" t="s">
        <v>12</v>
      </c>
      <c r="G14" s="20"/>
      <c r="H14" s="2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5"/>
    </row>
    <row r="15" spans="1:40" ht="13.8" customHeight="1">
      <c r="A15" s="8"/>
      <c r="B15" s="32"/>
      <c r="C15" s="33"/>
      <c r="D15" s="34"/>
      <c r="E15" s="35"/>
      <c r="F15" s="35"/>
      <c r="G15" s="35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5"/>
    </row>
    <row r="16" spans="1:40" ht="25.95" customHeight="1">
      <c r="A16" s="36"/>
      <c r="B16" s="37" t="s">
        <v>13</v>
      </c>
      <c r="C16" s="38" t="s">
        <v>14</v>
      </c>
      <c r="D16" s="39"/>
      <c r="E16" s="39"/>
      <c r="F16" s="40"/>
      <c r="G16" s="41" t="s">
        <v>15</v>
      </c>
      <c r="H16" s="4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</row>
    <row r="17" spans="1:40" ht="22.95" customHeight="1">
      <c r="A17" s="36"/>
      <c r="B17" s="43"/>
      <c r="C17" s="44"/>
      <c r="D17" s="45"/>
      <c r="E17" s="45"/>
      <c r="F17" s="46"/>
      <c r="G17" s="47"/>
      <c r="H17" s="4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5"/>
    </row>
    <row r="18" spans="1:40" ht="13.8" customHeight="1">
      <c r="A18" s="36"/>
      <c r="B18" s="48" t="s">
        <v>16</v>
      </c>
      <c r="C18" s="49" t="s">
        <v>17</v>
      </c>
      <c r="D18" s="50"/>
      <c r="E18" s="50"/>
      <c r="F18" s="51"/>
      <c r="G18" s="52">
        <f>'SO.01'!H94</f>
        <v>0</v>
      </c>
      <c r="H18" s="4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5"/>
    </row>
    <row r="19" spans="1:40" ht="16.2" customHeight="1">
      <c r="A19" s="53"/>
      <c r="B19" s="54"/>
      <c r="C19" s="54"/>
      <c r="D19" s="55"/>
      <c r="E19" s="56" t="s">
        <v>18</v>
      </c>
      <c r="F19" s="57"/>
      <c r="G19" s="58">
        <f>SUM(G18:G18)</f>
        <v>0</v>
      </c>
      <c r="H19" s="4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5"/>
    </row>
    <row r="20" spans="1:40" ht="10.2" customHeight="1">
      <c r="A20" s="53"/>
      <c r="B20" s="59"/>
      <c r="C20" s="59"/>
      <c r="D20" s="59"/>
      <c r="E20" s="54"/>
      <c r="F20" s="54"/>
      <c r="G20" s="60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5"/>
    </row>
    <row r="21" spans="1:40" ht="10.2" customHeight="1">
      <c r="A21" s="53"/>
      <c r="B21" s="59"/>
      <c r="C21" s="59"/>
      <c r="D21" s="59"/>
      <c r="E21" s="59"/>
      <c r="F21" s="59"/>
      <c r="G21" s="61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40" ht="15.6" customHeight="1">
      <c r="A22" s="53"/>
      <c r="B22" s="59"/>
      <c r="C22" s="59"/>
      <c r="D22" s="59"/>
      <c r="E22" s="62"/>
      <c r="F22" s="62"/>
      <c r="G22" s="6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5"/>
    </row>
    <row r="23" spans="1:40" ht="10.2" customHeight="1">
      <c r="A23" s="53"/>
      <c r="B23" s="59"/>
      <c r="C23" s="59"/>
      <c r="D23" s="59"/>
      <c r="E23" s="59"/>
      <c r="F23" s="59"/>
      <c r="G23" s="61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</row>
    <row r="24" spans="1:40" ht="10.2" customHeight="1">
      <c r="A24" s="53"/>
      <c r="B24" s="59"/>
      <c r="C24" s="59"/>
      <c r="D24" s="59"/>
      <c r="E24" s="59"/>
      <c r="F24" s="59"/>
      <c r="G24" s="61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5"/>
    </row>
    <row r="25" spans="1:40" ht="10.2" customHeight="1">
      <c r="A25" s="53"/>
      <c r="B25" s="59"/>
      <c r="C25" s="64">
        <v>112151352</v>
      </c>
      <c r="D25" s="65" t="s">
        <v>19</v>
      </c>
      <c r="E25" s="59"/>
      <c r="F25" s="59"/>
      <c r="G25" s="59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</row>
    <row r="26" spans="1:40" ht="22.95" customHeight="1">
      <c r="A26" s="53"/>
      <c r="B26" s="59"/>
      <c r="C26" s="59"/>
      <c r="D26" s="59"/>
      <c r="E26" s="59"/>
      <c r="F26" s="59"/>
      <c r="G26" s="59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5"/>
    </row>
    <row r="27" spans="1:40" ht="10.2" customHeight="1">
      <c r="A27" s="53"/>
      <c r="B27" s="59"/>
      <c r="C27" s="64">
        <v>112151354</v>
      </c>
      <c r="D27" s="65" t="s">
        <v>20</v>
      </c>
      <c r="E27" s="59"/>
      <c r="F27" s="59"/>
      <c r="G27" s="59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5"/>
    </row>
    <row r="28" spans="1:40" ht="10.2" customHeight="1">
      <c r="A28" s="53"/>
      <c r="B28" s="59"/>
      <c r="C28" s="59"/>
      <c r="D28" s="59"/>
      <c r="E28" s="59"/>
      <c r="F28" s="59"/>
      <c r="G28" s="59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</row>
    <row r="29" spans="1:40" ht="10.2" customHeight="1">
      <c r="A29" s="53"/>
      <c r="B29" s="59"/>
      <c r="C29" s="59"/>
      <c r="D29" s="59"/>
      <c r="E29" s="59"/>
      <c r="F29" s="59"/>
      <c r="G29" s="5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</row>
    <row r="30" spans="1:40" ht="10.2" customHeight="1">
      <c r="A30" s="53"/>
      <c r="B30" s="59"/>
      <c r="C30" s="59"/>
      <c r="D30" s="59"/>
      <c r="E30" s="59"/>
      <c r="F30" s="59"/>
      <c r="G30" s="59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5"/>
    </row>
    <row r="31" spans="1:40" ht="10.2" customHeight="1">
      <c r="A31" s="53"/>
      <c r="B31" s="59"/>
      <c r="C31" s="59"/>
      <c r="D31" s="59"/>
      <c r="E31" s="59"/>
      <c r="F31" s="59"/>
      <c r="G31" s="59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5"/>
    </row>
    <row r="32" spans="1:40" ht="10.2" customHeight="1">
      <c r="A32" s="53"/>
      <c r="B32" s="59"/>
      <c r="C32" s="59"/>
      <c r="D32" s="59"/>
      <c r="E32" s="59"/>
      <c r="F32" s="59"/>
      <c r="G32" s="59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5"/>
    </row>
    <row r="33" spans="1:40" ht="10.2" customHeight="1">
      <c r="A33" s="53"/>
      <c r="B33" s="59"/>
      <c r="C33" s="59"/>
      <c r="D33" s="59"/>
      <c r="E33" s="59"/>
      <c r="F33" s="59"/>
      <c r="G33" s="59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5"/>
    </row>
    <row r="34" spans="1:40" ht="10.2" customHeight="1">
      <c r="A34" s="53"/>
      <c r="B34" s="59"/>
      <c r="C34" s="59"/>
      <c r="D34" s="59"/>
      <c r="E34" s="59"/>
      <c r="F34" s="59"/>
      <c r="G34" s="59"/>
      <c r="H34" s="66">
        <f>SUM(H35:H64)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5"/>
    </row>
    <row r="35" spans="1:40" ht="10.2" customHeight="1">
      <c r="A35" s="53"/>
      <c r="B35" s="59"/>
      <c r="C35" s="59"/>
      <c r="D35" s="59"/>
      <c r="E35" s="59"/>
      <c r="F35" s="59"/>
      <c r="G35" s="59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5"/>
    </row>
    <row r="36" spans="1:40" ht="10.2" customHeight="1">
      <c r="A36" s="53"/>
      <c r="B36" s="59"/>
      <c r="C36" s="59"/>
      <c r="D36" s="59"/>
      <c r="E36" s="59"/>
      <c r="F36" s="59"/>
      <c r="G36" s="59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5"/>
    </row>
    <row r="37" spans="1:40" ht="10.2" customHeight="1">
      <c r="A37" s="53"/>
      <c r="B37" s="59"/>
      <c r="C37" s="59"/>
      <c r="D37" s="59"/>
      <c r="E37" s="59"/>
      <c r="F37" s="59"/>
      <c r="G37" s="59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5"/>
    </row>
    <row r="38" spans="1:40" ht="10.2" customHeight="1">
      <c r="A38" s="53"/>
      <c r="B38" s="59"/>
      <c r="C38" s="59"/>
      <c r="D38" s="59"/>
      <c r="E38" s="59"/>
      <c r="F38" s="59"/>
      <c r="G38" s="59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5"/>
    </row>
    <row r="39" spans="1:40" ht="10.2" customHeight="1">
      <c r="A39" s="53"/>
      <c r="B39" s="59"/>
      <c r="C39" s="59"/>
      <c r="D39" s="59"/>
      <c r="E39" s="59"/>
      <c r="F39" s="59"/>
      <c r="G39" s="59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5"/>
    </row>
    <row r="40" spans="1:40" ht="10.2" customHeight="1">
      <c r="A40" s="53"/>
      <c r="B40" s="59"/>
      <c r="C40" s="59"/>
      <c r="D40" s="59"/>
      <c r="E40" s="59"/>
      <c r="F40" s="59"/>
      <c r="G40" s="59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5"/>
    </row>
    <row r="41" spans="1:40" ht="10.2" customHeight="1">
      <c r="A41" s="53"/>
      <c r="B41" s="59"/>
      <c r="C41" s="59"/>
      <c r="D41" s="59"/>
      <c r="E41" s="59"/>
      <c r="F41" s="59"/>
      <c r="G41" s="59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ht="10.2" customHeight="1">
      <c r="A42" s="53"/>
      <c r="B42" s="59"/>
      <c r="C42" s="13"/>
      <c r="D42" s="67"/>
      <c r="E42" s="67"/>
      <c r="F42" s="67"/>
      <c r="G42" s="59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5"/>
    </row>
    <row r="43" spans="1:40" ht="10.2" customHeight="1">
      <c r="A43" s="53"/>
      <c r="B43" s="59"/>
      <c r="C43" s="13"/>
      <c r="D43" s="67"/>
      <c r="E43" s="67"/>
      <c r="F43" s="67"/>
      <c r="G43" s="6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68"/>
    </row>
    <row r="44" spans="1:40" ht="10.2" customHeight="1">
      <c r="A44" s="53"/>
      <c r="B44" s="59"/>
      <c r="C44" s="13"/>
      <c r="D44" s="67"/>
      <c r="E44" s="67"/>
      <c r="F44" s="67"/>
      <c r="G44" s="67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8"/>
    </row>
    <row r="45" spans="1:40" ht="10.2" customHeight="1">
      <c r="A45" s="53"/>
      <c r="B45" s="59"/>
      <c r="C45" s="13"/>
      <c r="D45" s="67"/>
      <c r="E45" s="67"/>
      <c r="F45" s="67"/>
      <c r="G45" s="67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68"/>
    </row>
    <row r="46" spans="1:40" ht="10.2" customHeight="1">
      <c r="A46" s="53"/>
      <c r="B46" s="59"/>
      <c r="C46" s="13"/>
      <c r="D46" s="67"/>
      <c r="E46" s="67"/>
      <c r="F46" s="67"/>
      <c r="G46" s="67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68"/>
    </row>
    <row r="47" spans="1:40" ht="10.2" customHeight="1">
      <c r="A47" s="53"/>
      <c r="B47" s="59"/>
      <c r="C47" s="13"/>
      <c r="D47" s="67"/>
      <c r="E47" s="67"/>
      <c r="F47" s="67"/>
      <c r="G47" s="67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68"/>
    </row>
    <row r="48" spans="1:40" ht="10.2" customHeight="1">
      <c r="A48" s="53"/>
      <c r="B48" s="59"/>
      <c r="C48" s="13"/>
      <c r="D48" s="67"/>
      <c r="E48" s="67"/>
      <c r="F48" s="67"/>
      <c r="G48" s="67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68"/>
    </row>
    <row r="49" spans="1:40" ht="10.2" customHeight="1">
      <c r="A49" s="53"/>
      <c r="B49" s="59"/>
      <c r="C49" s="13"/>
      <c r="D49" s="67"/>
      <c r="E49" s="67"/>
      <c r="F49" s="67"/>
      <c r="G49" s="6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68"/>
    </row>
    <row r="50" spans="1:40" ht="10.2" customHeight="1">
      <c r="A50" s="53"/>
      <c r="B50" s="59"/>
      <c r="C50" s="13"/>
      <c r="D50" s="67"/>
      <c r="E50" s="67"/>
      <c r="F50" s="67"/>
      <c r="G50" s="67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68"/>
    </row>
    <row r="51" spans="1:40" ht="10.2" customHeight="1">
      <c r="A51" s="53"/>
      <c r="B51" s="59"/>
      <c r="C51" s="13"/>
      <c r="D51" s="67"/>
      <c r="E51" s="67"/>
      <c r="F51" s="67"/>
      <c r="G51" s="67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68"/>
    </row>
    <row r="52" spans="1:40" ht="25.8" customHeight="1">
      <c r="A52" s="53"/>
      <c r="B52" s="59"/>
      <c r="C52" s="13"/>
      <c r="D52" s="67"/>
      <c r="E52" s="67"/>
      <c r="F52" s="67"/>
      <c r="G52" s="67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68"/>
    </row>
    <row r="53" spans="1:40" ht="10.2" customHeight="1">
      <c r="A53" s="53"/>
      <c r="B53" s="59"/>
      <c r="C53" s="13"/>
      <c r="D53" s="67"/>
      <c r="E53" s="67"/>
      <c r="F53" s="67"/>
      <c r="G53" s="67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68"/>
    </row>
    <row r="54" spans="1:40" ht="10.2" customHeight="1">
      <c r="A54" s="53"/>
      <c r="B54" s="59"/>
      <c r="C54" s="13"/>
      <c r="D54" s="67"/>
      <c r="E54" s="67"/>
      <c r="F54" s="67"/>
      <c r="G54" s="67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68"/>
    </row>
    <row r="55" spans="1:40" ht="10.2" customHeight="1">
      <c r="A55" s="53"/>
      <c r="B55" s="59"/>
      <c r="C55" s="13"/>
      <c r="D55" s="67"/>
      <c r="E55" s="67"/>
      <c r="F55" s="67"/>
      <c r="G55" s="6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68"/>
    </row>
    <row r="56" spans="1:40" ht="10.2" customHeight="1">
      <c r="A56" s="53"/>
      <c r="B56" s="59"/>
      <c r="C56" s="13"/>
      <c r="D56" s="67"/>
      <c r="E56" s="67"/>
      <c r="F56" s="67"/>
      <c r="G56" s="67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68"/>
    </row>
    <row r="57" spans="1:40" ht="10.2" customHeight="1">
      <c r="A57" s="53"/>
      <c r="B57" s="59"/>
      <c r="C57" s="13"/>
      <c r="D57" s="67"/>
      <c r="E57" s="67"/>
      <c r="F57" s="67"/>
      <c r="G57" s="67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68"/>
    </row>
    <row r="58" spans="1:40" ht="10.2" customHeight="1">
      <c r="A58" s="53"/>
      <c r="B58" s="59"/>
      <c r="C58" s="13"/>
      <c r="D58" s="67"/>
      <c r="E58" s="67"/>
      <c r="F58" s="67"/>
      <c r="G58" s="67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68"/>
    </row>
    <row r="59" spans="1:40" ht="10.2" customHeight="1">
      <c r="A59" s="53"/>
      <c r="B59" s="59"/>
      <c r="C59" s="13"/>
      <c r="D59" s="67"/>
      <c r="E59" s="67"/>
      <c r="F59" s="67"/>
      <c r="G59" s="67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68"/>
    </row>
    <row r="60" spans="1:40" ht="10.2" customHeight="1">
      <c r="A60" s="53"/>
      <c r="B60" s="59"/>
      <c r="C60" s="13"/>
      <c r="D60" s="67"/>
      <c r="E60" s="67"/>
      <c r="F60" s="67"/>
      <c r="G60" s="67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68"/>
    </row>
    <row r="61" spans="1:40" ht="10.2" customHeight="1">
      <c r="A61" s="53"/>
      <c r="B61" s="59"/>
      <c r="C61" s="13"/>
      <c r="D61" s="67"/>
      <c r="E61" s="67"/>
      <c r="F61" s="67"/>
      <c r="G61" s="67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68"/>
    </row>
    <row r="62" spans="1:40" ht="10.2" customHeight="1">
      <c r="A62" s="53"/>
      <c r="B62" s="59"/>
      <c r="C62" s="13"/>
      <c r="D62" s="67"/>
      <c r="E62" s="67"/>
      <c r="F62" s="67"/>
      <c r="G62" s="6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68"/>
    </row>
    <row r="63" spans="1:40" ht="10.2" customHeight="1">
      <c r="A63" s="53"/>
      <c r="B63" s="59"/>
      <c r="C63" s="13"/>
      <c r="D63" s="67"/>
      <c r="E63" s="67"/>
      <c r="F63" s="67"/>
      <c r="G63" s="67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68"/>
    </row>
    <row r="64" spans="1:40" ht="10.2" customHeight="1">
      <c r="A64" s="53"/>
      <c r="B64" s="59"/>
      <c r="C64" s="13"/>
      <c r="D64" s="67"/>
      <c r="E64" s="67"/>
      <c r="F64" s="67"/>
      <c r="G64" s="67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68"/>
    </row>
    <row r="65" spans="1:40" ht="10.2" customHeight="1">
      <c r="A65" s="53"/>
      <c r="B65" s="59"/>
      <c r="C65" s="13"/>
      <c r="D65" s="67"/>
      <c r="E65" s="67"/>
      <c r="F65" s="67"/>
      <c r="G65" s="67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68"/>
    </row>
    <row r="66" spans="1:40" ht="10.2" customHeight="1">
      <c r="A66" s="53"/>
      <c r="B66" s="59"/>
      <c r="C66" s="13"/>
      <c r="D66" s="67"/>
      <c r="E66" s="67"/>
      <c r="F66" s="67"/>
      <c r="G66" s="67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68"/>
    </row>
    <row r="67" spans="1:40" ht="10.2" customHeight="1">
      <c r="A67" s="53"/>
      <c r="B67" s="59"/>
      <c r="C67" s="13"/>
      <c r="D67" s="67"/>
      <c r="E67" s="67"/>
      <c r="F67" s="67"/>
      <c r="G67" s="67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68"/>
    </row>
    <row r="68" spans="1:40" ht="10.2" customHeight="1">
      <c r="A68" s="53"/>
      <c r="B68" s="59"/>
      <c r="C68" s="13"/>
      <c r="D68" s="67"/>
      <c r="E68" s="67"/>
      <c r="F68" s="67"/>
      <c r="G68" s="67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68"/>
    </row>
    <row r="69" spans="1:40" ht="10.2" customHeight="1">
      <c r="A69" s="53"/>
      <c r="B69" s="59"/>
      <c r="C69" s="13"/>
      <c r="D69" s="67"/>
      <c r="E69" s="67"/>
      <c r="F69" s="67"/>
      <c r="G69" s="6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68"/>
    </row>
    <row r="70" spans="1:40" ht="10.2" customHeight="1">
      <c r="A70" s="53"/>
      <c r="B70" s="59"/>
      <c r="C70" s="13"/>
      <c r="D70" s="67"/>
      <c r="E70" s="67"/>
      <c r="F70" s="67"/>
      <c r="G70" s="67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68"/>
    </row>
    <row r="71" spans="1:40" ht="10.2" customHeight="1">
      <c r="A71" s="53"/>
      <c r="B71" s="59"/>
      <c r="C71" s="13"/>
      <c r="D71" s="67"/>
      <c r="E71" s="67"/>
      <c r="F71" s="67"/>
      <c r="G71" s="67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68"/>
    </row>
    <row r="72" spans="1:40" ht="10.2" customHeight="1">
      <c r="A72" s="53"/>
      <c r="B72" s="59"/>
      <c r="C72" s="13"/>
      <c r="D72" s="67"/>
      <c r="E72" s="67"/>
      <c r="F72" s="67"/>
      <c r="G72" s="67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68"/>
    </row>
    <row r="73" spans="1:40" ht="10.2" customHeight="1">
      <c r="A73" s="53"/>
      <c r="B73" s="59"/>
      <c r="C73" s="13"/>
      <c r="D73" s="67"/>
      <c r="E73" s="67"/>
      <c r="F73" s="67"/>
      <c r="G73" s="67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68"/>
    </row>
    <row r="74" spans="1:40" ht="10.2" customHeight="1">
      <c r="A74" s="53"/>
      <c r="B74" s="59"/>
      <c r="C74" s="13"/>
      <c r="D74" s="67"/>
      <c r="E74" s="67"/>
      <c r="F74" s="67"/>
      <c r="G74" s="67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68"/>
    </row>
    <row r="75" spans="1:40" ht="10.2" customHeight="1">
      <c r="A75" s="53"/>
      <c r="B75" s="59"/>
      <c r="C75" s="13"/>
      <c r="D75" s="67"/>
      <c r="E75" s="67"/>
      <c r="F75" s="67"/>
      <c r="G75" s="67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68"/>
    </row>
    <row r="76" spans="1:40" ht="10.2" customHeight="1">
      <c r="A76" s="53"/>
      <c r="B76" s="59"/>
      <c r="C76" s="13"/>
      <c r="D76" s="67"/>
      <c r="E76" s="67"/>
      <c r="F76" s="67"/>
      <c r="G76" s="67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68"/>
    </row>
    <row r="77" spans="1:40" ht="10.2" customHeight="1">
      <c r="A77" s="53"/>
      <c r="B77" s="59"/>
      <c r="C77" s="13"/>
      <c r="D77" s="67"/>
      <c r="E77" s="67"/>
      <c r="F77" s="67"/>
      <c r="G77" s="67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68"/>
    </row>
    <row r="78" spans="1:40" ht="10.2" customHeight="1">
      <c r="A78" s="53"/>
      <c r="B78" s="59"/>
      <c r="C78" s="13"/>
      <c r="D78" s="67"/>
      <c r="E78" s="67"/>
      <c r="F78" s="67"/>
      <c r="G78" s="67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68"/>
    </row>
    <row r="79" spans="1:40" ht="10.2" customHeight="1">
      <c r="A79" s="53"/>
      <c r="B79" s="59"/>
      <c r="C79" s="13"/>
      <c r="D79" s="67"/>
      <c r="E79" s="67"/>
      <c r="F79" s="67"/>
      <c r="G79" s="67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68"/>
    </row>
    <row r="80" spans="1:40" ht="10.2" customHeight="1">
      <c r="A80" s="53"/>
      <c r="B80" s="59"/>
      <c r="C80" s="13"/>
      <c r="D80" s="67"/>
      <c r="E80" s="67"/>
      <c r="F80" s="67"/>
      <c r="G80" s="67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68"/>
    </row>
    <row r="81" spans="1:40" ht="10.2" customHeight="1">
      <c r="A81" s="53"/>
      <c r="B81" s="59"/>
      <c r="C81" s="13"/>
      <c r="D81" s="67"/>
      <c r="E81" s="67"/>
      <c r="F81" s="67"/>
      <c r="G81" s="67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68"/>
    </row>
    <row r="82" spans="1:40" ht="10.2" customHeight="1">
      <c r="A82" s="53"/>
      <c r="B82" s="59"/>
      <c r="C82" s="13"/>
      <c r="D82" s="67"/>
      <c r="E82" s="67"/>
      <c r="F82" s="67"/>
      <c r="G82" s="6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68"/>
    </row>
    <row r="83" spans="1:40" ht="10.2" customHeight="1">
      <c r="A83" s="53"/>
      <c r="B83" s="59"/>
      <c r="C83" s="13"/>
      <c r="D83" s="67"/>
      <c r="E83" s="67"/>
      <c r="F83" s="67"/>
      <c r="G83" s="67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68"/>
    </row>
    <row r="84" spans="1:40" ht="10.2" customHeight="1">
      <c r="A84" s="53"/>
      <c r="B84" s="59"/>
      <c r="C84" s="13"/>
      <c r="D84" s="67"/>
      <c r="E84" s="67"/>
      <c r="F84" s="67"/>
      <c r="G84" s="67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68"/>
    </row>
    <row r="85" spans="1:40" ht="10.2" customHeight="1">
      <c r="A85" s="53"/>
      <c r="B85" s="59"/>
      <c r="C85" s="13"/>
      <c r="D85" s="67"/>
      <c r="E85" s="67"/>
      <c r="F85" s="67"/>
      <c r="G85" s="67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68"/>
    </row>
    <row r="86" spans="1:40" ht="10.2" customHeight="1">
      <c r="A86" s="53"/>
      <c r="B86" s="59"/>
      <c r="C86" s="13"/>
      <c r="D86" s="67"/>
      <c r="E86" s="67"/>
      <c r="F86" s="67"/>
      <c r="G86" s="67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68"/>
    </row>
    <row r="87" spans="1:40" ht="10.2" customHeight="1">
      <c r="A87" s="53"/>
      <c r="B87" s="59"/>
      <c r="C87" s="13"/>
      <c r="D87" s="67"/>
      <c r="E87" s="67"/>
      <c r="F87" s="67"/>
      <c r="G87" s="67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68"/>
    </row>
    <row r="88" spans="1:40" ht="10.2" customHeight="1">
      <c r="A88" s="53"/>
      <c r="B88" s="59"/>
      <c r="C88" s="13"/>
      <c r="D88" s="67"/>
      <c r="E88" s="67"/>
      <c r="F88" s="67"/>
      <c r="G88" s="6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68"/>
    </row>
    <row r="89" spans="1:40" ht="10.2" customHeight="1">
      <c r="A89" s="53"/>
      <c r="B89" s="59"/>
      <c r="C89" s="13"/>
      <c r="D89" s="67"/>
      <c r="E89" s="67"/>
      <c r="F89" s="67"/>
      <c r="G89" s="67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68"/>
    </row>
    <row r="90" spans="1:40" ht="10.2" customHeight="1">
      <c r="A90" s="53"/>
      <c r="B90" s="59"/>
      <c r="C90" s="13"/>
      <c r="D90" s="67"/>
      <c r="E90" s="67"/>
      <c r="F90" s="67"/>
      <c r="G90" s="67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68"/>
    </row>
    <row r="91" spans="1:40" ht="10.2" customHeight="1">
      <c r="A91" s="53"/>
      <c r="B91" s="59"/>
      <c r="C91" s="13"/>
      <c r="D91" s="67"/>
      <c r="E91" s="67"/>
      <c r="F91" s="67"/>
      <c r="G91" s="67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68"/>
    </row>
    <row r="92" spans="1:40" ht="10.2" customHeight="1">
      <c r="A92" s="53"/>
      <c r="B92" s="59"/>
      <c r="C92" s="13"/>
      <c r="D92" s="67"/>
      <c r="E92" s="67"/>
      <c r="F92" s="67"/>
      <c r="G92" s="67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68"/>
    </row>
    <row r="93" spans="1:40" ht="10.2" customHeight="1">
      <c r="A93" s="53"/>
      <c r="B93" s="59"/>
      <c r="C93" s="13"/>
      <c r="D93" s="67"/>
      <c r="E93" s="67"/>
      <c r="F93" s="67"/>
      <c r="G93" s="67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68"/>
    </row>
    <row r="94" spans="1:40" ht="10.2" customHeight="1">
      <c r="A94" s="53"/>
      <c r="B94" s="59"/>
      <c r="C94" s="13"/>
      <c r="D94" s="67"/>
      <c r="E94" s="67"/>
      <c r="F94" s="67"/>
      <c r="G94" s="67"/>
      <c r="H94" s="66">
        <f>SUM(H67:H87,H35:H64,H21:H33,H17:H19,H89:H93)</f>
        <v>0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68"/>
    </row>
    <row r="95" spans="1:40" ht="10.2" customHeight="1">
      <c r="A95" s="53"/>
      <c r="B95" s="59"/>
      <c r="C95" s="13"/>
      <c r="D95" s="67"/>
      <c r="E95" s="67"/>
      <c r="F95" s="67"/>
      <c r="G95" s="67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68"/>
    </row>
    <row r="96" spans="1:40" ht="10.2" customHeight="1">
      <c r="A96" s="53"/>
      <c r="B96" s="59"/>
      <c r="C96" s="13"/>
      <c r="D96" s="67"/>
      <c r="E96" s="67"/>
      <c r="F96" s="67"/>
      <c r="G96" s="67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68"/>
    </row>
    <row r="97" spans="1:40" ht="10.2" customHeight="1">
      <c r="A97" s="53"/>
      <c r="B97" s="59"/>
      <c r="C97" s="13"/>
      <c r="D97" s="67"/>
      <c r="E97" s="67"/>
      <c r="F97" s="67"/>
      <c r="G97" s="67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68"/>
    </row>
    <row r="98" spans="1:40" ht="10.2" customHeight="1">
      <c r="A98" s="53"/>
      <c r="B98" s="59"/>
      <c r="C98" s="13"/>
      <c r="D98" s="67"/>
      <c r="E98" s="67"/>
      <c r="F98" s="67"/>
      <c r="G98" s="67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68"/>
    </row>
    <row r="99" spans="1:40" ht="10.2" customHeight="1">
      <c r="A99" s="53"/>
      <c r="B99" s="59"/>
      <c r="C99" s="13"/>
      <c r="D99" s="67"/>
      <c r="E99" s="67"/>
      <c r="F99" s="67"/>
      <c r="G99" s="67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68"/>
    </row>
    <row r="100" spans="1:40" ht="10.2" customHeight="1">
      <c r="A100" s="53"/>
      <c r="B100" s="59"/>
      <c r="C100" s="13"/>
      <c r="D100" s="67"/>
      <c r="E100" s="67"/>
      <c r="F100" s="67"/>
      <c r="G100" s="67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68"/>
    </row>
    <row r="101" spans="1:40" ht="10.2" customHeight="1">
      <c r="A101" s="53"/>
      <c r="B101" s="59"/>
      <c r="C101" s="13"/>
      <c r="D101" s="67"/>
      <c r="E101" s="67"/>
      <c r="F101" s="67"/>
      <c r="G101" s="67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68"/>
    </row>
    <row r="102" spans="1:40" ht="10.2" customHeight="1">
      <c r="A102" s="53"/>
      <c r="B102" s="59"/>
      <c r="C102" s="13"/>
      <c r="D102" s="67"/>
      <c r="E102" s="67"/>
      <c r="F102" s="67"/>
      <c r="G102" s="67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68"/>
    </row>
    <row r="103" spans="1:40" ht="10.2" customHeight="1">
      <c r="A103" s="53"/>
      <c r="B103" s="59"/>
      <c r="C103" s="13"/>
      <c r="D103" s="67"/>
      <c r="E103" s="67"/>
      <c r="F103" s="67"/>
      <c r="G103" s="67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68"/>
    </row>
    <row r="104" spans="1:40" ht="10.2" customHeight="1">
      <c r="A104" s="53"/>
      <c r="B104" s="59"/>
      <c r="C104" s="13"/>
      <c r="D104" s="67"/>
      <c r="E104" s="67"/>
      <c r="F104" s="67"/>
      <c r="G104" s="67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68"/>
    </row>
    <row r="105" spans="1:40" ht="10.2" customHeight="1">
      <c r="A105" s="53"/>
      <c r="B105" s="59"/>
      <c r="C105" s="13"/>
      <c r="D105" s="67"/>
      <c r="E105" s="67"/>
      <c r="F105" s="67"/>
      <c r="G105" s="67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68"/>
    </row>
    <row r="106" spans="1:40" ht="10.2" customHeight="1">
      <c r="A106" s="53"/>
      <c r="B106" s="59"/>
      <c r="C106" s="13"/>
      <c r="D106" s="67"/>
      <c r="E106" s="67"/>
      <c r="F106" s="67"/>
      <c r="G106" s="67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68"/>
    </row>
    <row r="107" spans="1:40" ht="10.2" customHeight="1">
      <c r="A107" s="53"/>
      <c r="B107" s="59"/>
      <c r="C107" s="13"/>
      <c r="D107" s="67"/>
      <c r="E107" s="67"/>
      <c r="F107" s="67"/>
      <c r="G107" s="67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68"/>
    </row>
    <row r="108" spans="1:40" ht="10.2" customHeight="1">
      <c r="A108" s="53"/>
      <c r="B108" s="59"/>
      <c r="C108" s="13"/>
      <c r="D108" s="67"/>
      <c r="E108" s="67"/>
      <c r="F108" s="67"/>
      <c r="G108" s="67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68"/>
    </row>
    <row r="109" spans="1:40" ht="10.2" customHeight="1">
      <c r="A109" s="53"/>
      <c r="B109" s="59"/>
      <c r="C109" s="13"/>
      <c r="D109" s="67"/>
      <c r="E109" s="67"/>
      <c r="F109" s="67"/>
      <c r="G109" s="67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68"/>
    </row>
    <row r="110" spans="1:40" ht="10.2" customHeight="1">
      <c r="A110" s="53"/>
      <c r="B110" s="59"/>
      <c r="C110" s="13"/>
      <c r="D110" s="67"/>
      <c r="E110" s="67"/>
      <c r="F110" s="67"/>
      <c r="G110" s="67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68"/>
    </row>
    <row r="111" spans="1:40" ht="10.2" customHeight="1">
      <c r="A111" s="53"/>
      <c r="B111" s="59"/>
      <c r="C111" s="13"/>
      <c r="D111" s="67"/>
      <c r="E111" s="67"/>
      <c r="F111" s="67"/>
      <c r="G111" s="67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68"/>
    </row>
    <row r="112" spans="1:40" ht="10.2" customHeight="1">
      <c r="A112" s="53"/>
      <c r="B112" s="59"/>
      <c r="C112" s="13"/>
      <c r="D112" s="67"/>
      <c r="E112" s="67"/>
      <c r="F112" s="67"/>
      <c r="G112" s="67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68"/>
    </row>
    <row r="113" spans="1:40" ht="10.2" customHeight="1">
      <c r="A113" s="53"/>
      <c r="B113" s="59"/>
      <c r="C113" s="13"/>
      <c r="D113" s="67"/>
      <c r="E113" s="67"/>
      <c r="F113" s="67"/>
      <c r="G113" s="67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68"/>
    </row>
    <row r="114" spans="1:40" ht="10.2" customHeight="1">
      <c r="A114" s="53"/>
      <c r="B114" s="59"/>
      <c r="C114" s="13"/>
      <c r="D114" s="67"/>
      <c r="E114" s="67"/>
      <c r="F114" s="67"/>
      <c r="G114" s="67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68"/>
    </row>
    <row r="115" spans="1:40" ht="10.2" customHeight="1">
      <c r="A115" s="53"/>
      <c r="B115" s="59"/>
      <c r="C115" s="13"/>
      <c r="D115" s="67"/>
      <c r="E115" s="67"/>
      <c r="F115" s="67"/>
      <c r="G115" s="67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68"/>
    </row>
    <row r="116" spans="1:40" ht="10.2" customHeight="1">
      <c r="A116" s="53"/>
      <c r="B116" s="59"/>
      <c r="C116" s="13"/>
      <c r="D116" s="67"/>
      <c r="E116" s="67"/>
      <c r="F116" s="67"/>
      <c r="G116" s="67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68"/>
    </row>
    <row r="117" spans="1:40" ht="10.2" customHeight="1">
      <c r="A117" s="53"/>
      <c r="B117" s="59"/>
      <c r="C117" s="13"/>
      <c r="D117" s="67"/>
      <c r="E117" s="67"/>
      <c r="F117" s="67"/>
      <c r="G117" s="67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68"/>
    </row>
    <row r="118" spans="1:40" ht="10.2" customHeight="1">
      <c r="A118" s="69"/>
      <c r="B118" s="70"/>
      <c r="C118" s="71"/>
      <c r="D118" s="72"/>
      <c r="E118" s="72"/>
      <c r="F118" s="72"/>
      <c r="G118" s="72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3"/>
    </row>
  </sheetData>
  <mergeCells count="6">
    <mergeCell ref="G16:G17"/>
    <mergeCell ref="E19:F19"/>
    <mergeCell ref="C4:D5"/>
    <mergeCell ref="B16:B17"/>
    <mergeCell ref="C16:E17"/>
    <mergeCell ref="C18:E18"/>
  </mergeCells>
  <printOptions/>
  <pageMargins left="0.393701" right="0.393701" top="0.393701" bottom="0.393701" header="0" footer="0"/>
  <pageSetup fitToHeight="1" fitToWidth="1" horizontalDpi="600" verticalDpi="600" orientation="portrait"/>
  <headerFooter>
    <oddFooter>&amp;C&amp;"Arial CE,Regular"&amp;8&amp;K000000Strana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3"/>
  <sheetViews>
    <sheetView showGridLines="0" workbookViewId="0" topLeftCell="A1"/>
  </sheetViews>
  <sheetFormatPr defaultColWidth="9.28125" defaultRowHeight="9.75" customHeight="1"/>
  <cols>
    <col min="1" max="1" width="2.00390625" style="74" customWidth="1"/>
    <col min="2" max="2" width="11.28125" style="74" customWidth="1"/>
    <col min="3" max="3" width="14.7109375" style="74" customWidth="1"/>
    <col min="4" max="4" width="84.421875" style="74" customWidth="1"/>
    <col min="5" max="5" width="11.7109375" style="74" customWidth="1"/>
    <col min="6" max="6" width="13.28125" style="74" customWidth="1"/>
    <col min="7" max="7" width="16.28125" style="74" customWidth="1"/>
    <col min="8" max="8" width="25.7109375" style="74" customWidth="1"/>
    <col min="9" max="9" width="4.00390625" style="74" customWidth="1"/>
    <col min="10" max="16" width="9.28125" style="74" customWidth="1"/>
    <col min="17" max="16384" width="9.28125" style="74" customWidth="1"/>
  </cols>
  <sheetData>
    <row r="1" spans="1:16" ht="10.2" customHeight="1">
      <c r="A1" s="2"/>
      <c r="B1" s="3"/>
      <c r="C1" s="3"/>
      <c r="D1" s="3"/>
      <c r="E1" s="4"/>
      <c r="F1" s="4"/>
      <c r="G1" s="4"/>
      <c r="H1" s="4"/>
      <c r="I1" s="75"/>
      <c r="J1" s="75"/>
      <c r="K1" s="75"/>
      <c r="L1" s="75"/>
      <c r="M1" s="75"/>
      <c r="N1" s="75"/>
      <c r="O1" s="75"/>
      <c r="P1" s="76"/>
    </row>
    <row r="2" spans="1:16" ht="24.9" customHeight="1">
      <c r="A2" s="77"/>
      <c r="B2" s="9" t="s">
        <v>0</v>
      </c>
      <c r="C2" s="78"/>
      <c r="D2" s="79"/>
      <c r="E2" s="11"/>
      <c r="F2" s="12"/>
      <c r="G2" s="12"/>
      <c r="H2" s="12"/>
      <c r="I2" s="80"/>
      <c r="J2" s="67"/>
      <c r="K2" s="67"/>
      <c r="L2" s="67"/>
      <c r="M2" s="67"/>
      <c r="N2" s="67"/>
      <c r="O2" s="67"/>
      <c r="P2" s="81"/>
    </row>
    <row r="3" spans="1:16" ht="8" customHeight="1">
      <c r="A3" s="77"/>
      <c r="B3" s="16"/>
      <c r="C3" s="16"/>
      <c r="D3" s="79"/>
      <c r="E3" s="11"/>
      <c r="F3" s="12"/>
      <c r="G3" s="12"/>
      <c r="H3" s="12"/>
      <c r="I3" s="80"/>
      <c r="J3" s="67"/>
      <c r="K3" s="67"/>
      <c r="L3" s="67"/>
      <c r="M3" s="67"/>
      <c r="N3" s="67"/>
      <c r="O3" s="67"/>
      <c r="P3" s="81"/>
    </row>
    <row r="4" spans="1:16" ht="12" customHeight="1">
      <c r="A4" s="77"/>
      <c r="B4" s="17" t="s">
        <v>1</v>
      </c>
      <c r="C4" s="22"/>
      <c r="D4" s="18" t="s">
        <f>SOUHRN!C4</f>
        <v>21</v>
      </c>
      <c r="E4" s="19"/>
      <c r="F4" s="20"/>
      <c r="G4" s="21"/>
      <c r="H4" s="21"/>
      <c r="I4" s="80"/>
      <c r="J4" s="67"/>
      <c r="K4" s="67"/>
      <c r="L4" s="67"/>
      <c r="M4" s="67"/>
      <c r="N4" s="67"/>
      <c r="O4" s="67"/>
      <c r="P4" s="81"/>
    </row>
    <row r="5" spans="1:16" ht="16.5" customHeight="1">
      <c r="A5" s="77"/>
      <c r="B5" s="22"/>
      <c r="C5" s="22"/>
      <c r="D5" s="19"/>
      <c r="E5" s="19"/>
      <c r="F5" s="20"/>
      <c r="G5" s="21"/>
      <c r="H5" s="21"/>
      <c r="I5" s="80"/>
      <c r="J5" s="67"/>
      <c r="K5" s="67"/>
      <c r="L5" s="67"/>
      <c r="M5" s="67"/>
      <c r="N5" s="67"/>
      <c r="O5" s="67"/>
      <c r="P5" s="81"/>
    </row>
    <row r="6" spans="1:16" ht="16.5" customHeight="1">
      <c r="A6" s="77"/>
      <c r="B6" s="17" t="s">
        <v>3</v>
      </c>
      <c r="C6" s="22"/>
      <c r="D6" s="18" t="s">
        <f>SOUHRN!C7</f>
        <v>22</v>
      </c>
      <c r="E6" s="19"/>
      <c r="F6" s="20"/>
      <c r="G6" s="21"/>
      <c r="H6" s="21"/>
      <c r="I6" s="80"/>
      <c r="J6" s="67"/>
      <c r="K6" s="67"/>
      <c r="L6" s="67"/>
      <c r="M6" s="67"/>
      <c r="N6" s="67"/>
      <c r="O6" s="67"/>
      <c r="P6" s="81"/>
    </row>
    <row r="7" spans="1:16" ht="13.2" customHeight="1">
      <c r="A7" s="77"/>
      <c r="B7" s="22"/>
      <c r="C7" s="22"/>
      <c r="D7" s="24"/>
      <c r="E7" s="25"/>
      <c r="F7" s="21"/>
      <c r="G7" s="21"/>
      <c r="H7" s="21"/>
      <c r="I7" s="80"/>
      <c r="J7" s="67"/>
      <c r="K7" s="67"/>
      <c r="L7" s="67"/>
      <c r="M7" s="67"/>
      <c r="N7" s="67"/>
      <c r="O7" s="67"/>
      <c r="P7" s="81"/>
    </row>
    <row r="8" spans="1:16" ht="13.2" customHeight="1">
      <c r="A8" s="77"/>
      <c r="B8" s="17" t="s">
        <v>5</v>
      </c>
      <c r="C8" s="22"/>
      <c r="D8" s="24"/>
      <c r="E8" s="25"/>
      <c r="F8" s="26" t="s">
        <v>7</v>
      </c>
      <c r="G8" s="27">
        <f>SOUHRN!G10</f>
      </c>
      <c r="H8" s="21"/>
      <c r="I8" s="80"/>
      <c r="J8" s="67"/>
      <c r="K8" s="67"/>
      <c r="L8" s="67"/>
      <c r="M8" s="67"/>
      <c r="N8" s="67"/>
      <c r="O8" s="67"/>
      <c r="P8" s="81"/>
    </row>
    <row r="9" spans="1:16" ht="13.2" customHeight="1">
      <c r="A9" s="77"/>
      <c r="B9" s="22"/>
      <c r="C9" s="22"/>
      <c r="D9" s="24"/>
      <c r="E9" s="25"/>
      <c r="F9" s="21"/>
      <c r="G9" s="21"/>
      <c r="H9" s="21"/>
      <c r="I9" s="80"/>
      <c r="J9" s="67"/>
      <c r="K9" s="67"/>
      <c r="L9" s="67"/>
      <c r="M9" s="67"/>
      <c r="N9" s="67"/>
      <c r="O9" s="67"/>
      <c r="P9" s="81"/>
    </row>
    <row r="10" spans="1:16" ht="15.15" customHeight="1">
      <c r="A10" s="77"/>
      <c r="B10" s="17" t="s">
        <v>8</v>
      </c>
      <c r="C10" s="22"/>
      <c r="D10" s="24"/>
      <c r="E10" s="25"/>
      <c r="F10" s="26" t="s">
        <v>10</v>
      </c>
      <c r="G10" s="20"/>
      <c r="H10" s="21"/>
      <c r="I10" s="80"/>
      <c r="J10" s="67"/>
      <c r="K10" s="67"/>
      <c r="L10" s="67"/>
      <c r="M10" s="67"/>
      <c r="N10" s="67"/>
      <c r="O10" s="67"/>
      <c r="P10" s="81"/>
    </row>
    <row r="11" spans="1:16" ht="15.15" customHeight="1">
      <c r="A11" s="77"/>
      <c r="B11" s="17" t="s">
        <v>11</v>
      </c>
      <c r="C11" s="22"/>
      <c r="D11" s="82">
        <f>SOUHRN!C14</f>
        <v>0</v>
      </c>
      <c r="E11" s="25"/>
      <c r="F11" s="26" t="s">
        <v>12</v>
      </c>
      <c r="G11" s="20"/>
      <c r="H11" s="21"/>
      <c r="I11" s="80"/>
      <c r="J11" s="67"/>
      <c r="K11" s="67"/>
      <c r="L11" s="67"/>
      <c r="M11" s="67"/>
      <c r="N11" s="67"/>
      <c r="O11" s="67"/>
      <c r="P11" s="81"/>
    </row>
    <row r="12" spans="1:16" ht="10.35" customHeight="1">
      <c r="A12" s="77"/>
      <c r="B12" s="32"/>
      <c r="C12" s="32"/>
      <c r="D12" s="83"/>
      <c r="E12" s="34"/>
      <c r="F12" s="35"/>
      <c r="G12" s="35"/>
      <c r="H12" s="35"/>
      <c r="I12" s="80"/>
      <c r="J12" s="67"/>
      <c r="K12" s="67"/>
      <c r="L12" s="67"/>
      <c r="M12" s="67"/>
      <c r="N12" s="67"/>
      <c r="O12" s="67"/>
      <c r="P12" s="81"/>
    </row>
    <row r="13" spans="1:16" ht="25.95" customHeight="1">
      <c r="A13" s="36"/>
      <c r="B13" s="84" t="s">
        <v>23</v>
      </c>
      <c r="C13" s="85" t="s">
        <v>24</v>
      </c>
      <c r="D13" s="86" t="s">
        <v>25</v>
      </c>
      <c r="E13" s="86" t="s">
        <v>26</v>
      </c>
      <c r="F13" s="86" t="s">
        <v>27</v>
      </c>
      <c r="G13" s="85" t="s">
        <v>28</v>
      </c>
      <c r="H13" s="87"/>
      <c r="I13" s="88"/>
      <c r="J13" s="67"/>
      <c r="K13" s="67"/>
      <c r="L13" s="67"/>
      <c r="M13" s="67"/>
      <c r="N13" s="67"/>
      <c r="O13" s="67"/>
      <c r="P13" s="81"/>
    </row>
    <row r="14" spans="1:16" ht="22.95" customHeight="1">
      <c r="A14" s="36"/>
      <c r="B14" s="89"/>
      <c r="C14" s="90" t="s">
        <v>29</v>
      </c>
      <c r="D14" s="91"/>
      <c r="E14" s="92"/>
      <c r="F14" s="92"/>
      <c r="G14" s="90" t="s">
        <v>30</v>
      </c>
      <c r="H14" s="93" t="s">
        <v>31</v>
      </c>
      <c r="I14" s="88"/>
      <c r="J14" s="67"/>
      <c r="K14" s="67"/>
      <c r="L14" s="67"/>
      <c r="M14" s="67"/>
      <c r="N14" s="67"/>
      <c r="O14" s="67"/>
      <c r="P14" s="81"/>
    </row>
    <row r="15" spans="1:16" ht="13.95" customHeight="1">
      <c r="A15" s="36"/>
      <c r="B15" s="94" t="s">
        <v>32</v>
      </c>
      <c r="C15" s="95"/>
      <c r="D15" s="95"/>
      <c r="E15" s="95"/>
      <c r="F15" s="95"/>
      <c r="G15" s="95"/>
      <c r="H15" s="96">
        <f>SUM(H16:H20)</f>
        <v>74022</v>
      </c>
      <c r="I15" s="88"/>
      <c r="J15" s="67"/>
      <c r="K15" s="67"/>
      <c r="L15" s="67"/>
      <c r="M15" s="67"/>
      <c r="N15" s="67"/>
      <c r="O15" s="67"/>
      <c r="P15" s="81"/>
    </row>
    <row r="16" spans="1:16" ht="30" customHeight="1">
      <c r="A16" s="97"/>
      <c r="B16" s="98">
        <v>1</v>
      </c>
      <c r="C16" s="99" t="s">
        <v>33</v>
      </c>
      <c r="D16" s="100" t="s">
        <v>34</v>
      </c>
      <c r="E16" s="99" t="s">
        <v>35</v>
      </c>
      <c r="F16" s="101">
        <f>SUM(F17:F17)</f>
        <v>507</v>
      </c>
      <c r="G16" s="102">
        <v>36</v>
      </c>
      <c r="H16" s="103">
        <f>F16*G16</f>
        <v>18252</v>
      </c>
      <c r="I16" s="88"/>
      <c r="J16" s="67"/>
      <c r="K16" s="67"/>
      <c r="L16" s="67"/>
      <c r="M16" s="67"/>
      <c r="N16" s="67"/>
      <c r="O16" s="67"/>
      <c r="P16" s="81"/>
    </row>
    <row r="17" spans="1:16" ht="13.2" customHeight="1">
      <c r="A17" s="97"/>
      <c r="B17" s="104"/>
      <c r="C17" s="105"/>
      <c r="D17" s="106" t="s">
        <v>36</v>
      </c>
      <c r="E17" s="107"/>
      <c r="F17" s="108">
        <f>(56+38+49+26)*3</f>
        <v>507</v>
      </c>
      <c r="G17" s="109"/>
      <c r="H17" s="110"/>
      <c r="I17" s="88"/>
      <c r="J17" s="67"/>
      <c r="K17" s="67"/>
      <c r="L17" s="67"/>
      <c r="M17" s="67"/>
      <c r="N17" s="67"/>
      <c r="O17" s="67"/>
      <c r="P17" s="81"/>
    </row>
    <row r="18" spans="1:16" ht="29.4" customHeight="1">
      <c r="A18" s="97"/>
      <c r="B18" s="111">
        <f>B16+1</f>
        <v>2</v>
      </c>
      <c r="C18" s="112" t="s">
        <v>37</v>
      </c>
      <c r="D18" s="106" t="s">
        <v>38</v>
      </c>
      <c r="E18" s="112" t="s">
        <v>35</v>
      </c>
      <c r="F18" s="108">
        <f>SUM(F19:F19)</f>
        <v>5070</v>
      </c>
      <c r="G18" s="109">
        <v>8</v>
      </c>
      <c r="H18" s="110">
        <f>F18*G18</f>
        <v>40560</v>
      </c>
      <c r="I18" s="88"/>
      <c r="J18" s="67"/>
      <c r="K18" s="67"/>
      <c r="L18" s="67"/>
      <c r="M18" s="67"/>
      <c r="N18" s="67"/>
      <c r="O18" s="67"/>
      <c r="P18" s="81"/>
    </row>
    <row r="19" spans="1:16" ht="13.2" customHeight="1">
      <c r="A19" s="97"/>
      <c r="B19" s="104"/>
      <c r="C19" s="105"/>
      <c r="D19" s="106" t="s">
        <v>39</v>
      </c>
      <c r="E19" s="107"/>
      <c r="F19" s="108">
        <f>F16*10</f>
        <v>5070</v>
      </c>
      <c r="G19" s="109"/>
      <c r="H19" s="110"/>
      <c r="I19" s="88"/>
      <c r="J19" s="67"/>
      <c r="K19" s="67"/>
      <c r="L19" s="67"/>
      <c r="M19" s="67"/>
      <c r="N19" s="67"/>
      <c r="O19" s="67"/>
      <c r="P19" s="81"/>
    </row>
    <row r="20" spans="1:16" ht="27" customHeight="1">
      <c r="A20" s="97"/>
      <c r="B20" s="113">
        <f>B18+1</f>
        <v>3</v>
      </c>
      <c r="C20" s="114" t="s">
        <v>40</v>
      </c>
      <c r="D20" s="115" t="s">
        <v>41</v>
      </c>
      <c r="E20" s="114" t="s">
        <v>35</v>
      </c>
      <c r="F20" s="116">
        <f>F16</f>
        <v>507</v>
      </c>
      <c r="G20" s="117">
        <v>30</v>
      </c>
      <c r="H20" s="118">
        <f>F20*G20</f>
        <v>15210</v>
      </c>
      <c r="I20" s="88"/>
      <c r="J20" s="67"/>
      <c r="K20" s="67"/>
      <c r="L20" s="67"/>
      <c r="M20" s="67"/>
      <c r="N20" s="67"/>
      <c r="O20" s="67"/>
      <c r="P20" s="81"/>
    </row>
    <row r="21" spans="1:16" ht="13.95" customHeight="1">
      <c r="A21" s="97"/>
      <c r="B21" s="94" t="s">
        <v>42</v>
      </c>
      <c r="C21" s="95"/>
      <c r="D21" s="95"/>
      <c r="E21" s="95"/>
      <c r="F21" s="95"/>
      <c r="G21" s="95"/>
      <c r="H21" s="96">
        <f>SUM(H22:H39)</f>
        <v>204507</v>
      </c>
      <c r="I21" s="88"/>
      <c r="J21" s="67"/>
      <c r="K21" s="67"/>
      <c r="L21" s="67"/>
      <c r="M21" s="67"/>
      <c r="N21" s="67"/>
      <c r="O21" s="67"/>
      <c r="P21" s="81"/>
    </row>
    <row r="22" spans="1:16" ht="26.4" customHeight="1">
      <c r="A22" s="97"/>
      <c r="B22" s="119">
        <f>B20+1</f>
        <v>4</v>
      </c>
      <c r="C22" s="120">
        <v>155211112</v>
      </c>
      <c r="D22" s="100" t="s">
        <v>43</v>
      </c>
      <c r="E22" s="99" t="s">
        <v>35</v>
      </c>
      <c r="F22" s="101">
        <f>SUM(F23:F23)</f>
        <v>168</v>
      </c>
      <c r="G22" s="102">
        <v>137</v>
      </c>
      <c r="H22" s="103">
        <f>F22*G22</f>
        <v>23016</v>
      </c>
      <c r="I22" s="88"/>
      <c r="J22" s="67"/>
      <c r="K22" s="67"/>
      <c r="L22" s="67"/>
      <c r="M22" s="67"/>
      <c r="N22" s="67"/>
      <c r="O22" s="67"/>
      <c r="P22" s="81"/>
    </row>
    <row r="23" spans="1:16" ht="22.2" customHeight="1">
      <c r="A23" s="97"/>
      <c r="B23" s="104"/>
      <c r="C23" s="105"/>
      <c r="D23" s="106" t="s">
        <v>44</v>
      </c>
      <c r="E23" s="107"/>
      <c r="F23" s="108">
        <f>CEILING(56*10*1*0.3,1)</f>
        <v>168</v>
      </c>
      <c r="G23" s="109"/>
      <c r="H23" s="110"/>
      <c r="I23" s="121"/>
      <c r="J23" s="67"/>
      <c r="K23" s="67"/>
      <c r="L23" s="67"/>
      <c r="M23" s="67"/>
      <c r="N23" s="67"/>
      <c r="O23" s="67"/>
      <c r="P23" s="81"/>
    </row>
    <row r="24" spans="1:16" ht="26.4" customHeight="1">
      <c r="A24" s="97"/>
      <c r="B24" s="122">
        <f>B22+1</f>
        <v>5</v>
      </c>
      <c r="C24" s="123">
        <v>111251111</v>
      </c>
      <c r="D24" s="106" t="s">
        <v>45</v>
      </c>
      <c r="E24" s="112" t="s">
        <v>46</v>
      </c>
      <c r="F24" s="108">
        <f>F25</f>
        <v>1.7</v>
      </c>
      <c r="G24" s="109">
        <v>4050</v>
      </c>
      <c r="H24" s="110">
        <f>F24*G24</f>
        <v>6885</v>
      </c>
      <c r="I24" s="88"/>
      <c r="J24" s="67"/>
      <c r="K24" s="67"/>
      <c r="L24" s="67"/>
      <c r="M24" s="67"/>
      <c r="N24" s="67"/>
      <c r="O24" s="67"/>
      <c r="P24" s="81"/>
    </row>
    <row r="25" spans="1:16" ht="13.2" customHeight="1">
      <c r="A25" s="36"/>
      <c r="B25" s="104"/>
      <c r="C25" s="105"/>
      <c r="D25" s="106" t="s">
        <v>47</v>
      </c>
      <c r="E25" s="107"/>
      <c r="F25" s="124">
        <f>CEILING(F22*0.01,0.1)</f>
        <v>1.7</v>
      </c>
      <c r="G25" s="125"/>
      <c r="H25" s="126"/>
      <c r="I25" s="88"/>
      <c r="J25" s="67"/>
      <c r="K25" s="67"/>
      <c r="L25" s="67"/>
      <c r="M25" s="67"/>
      <c r="N25" s="67"/>
      <c r="O25" s="67"/>
      <c r="P25" s="81"/>
    </row>
    <row r="26" spans="1:16" ht="13.2" customHeight="1">
      <c r="A26" s="97"/>
      <c r="B26" s="122">
        <f>B24+1</f>
        <v>6</v>
      </c>
      <c r="C26" s="123">
        <v>112151112</v>
      </c>
      <c r="D26" s="106" t="s">
        <v>48</v>
      </c>
      <c r="E26" s="112" t="s">
        <v>49</v>
      </c>
      <c r="F26" s="108">
        <f>SUM(F27:F27)</f>
        <v>29</v>
      </c>
      <c r="G26" s="109">
        <v>394</v>
      </c>
      <c r="H26" s="110">
        <f>F26*G26</f>
        <v>11426</v>
      </c>
      <c r="I26" s="88"/>
      <c r="J26" s="67"/>
      <c r="K26" s="67"/>
      <c r="L26" s="67"/>
      <c r="M26" s="67"/>
      <c r="N26" s="67"/>
      <c r="O26" s="67"/>
      <c r="P26" s="81"/>
    </row>
    <row r="27" spans="1:16" ht="10.95" customHeight="1">
      <c r="A27" s="36"/>
      <c r="B27" s="127"/>
      <c r="C27" s="128"/>
      <c r="D27" s="129" t="s">
        <v>50</v>
      </c>
      <c r="E27" s="130"/>
      <c r="F27" s="131">
        <f>19+10</f>
        <v>29</v>
      </c>
      <c r="G27" s="125"/>
      <c r="H27" s="126"/>
      <c r="I27" s="88"/>
      <c r="J27" s="67"/>
      <c r="K27" s="67"/>
      <c r="L27" s="67"/>
      <c r="M27" s="67"/>
      <c r="N27" s="67"/>
      <c r="O27" s="67"/>
      <c r="P27" s="81"/>
    </row>
    <row r="28" spans="1:16" ht="28.95" customHeight="1">
      <c r="A28" s="97"/>
      <c r="B28" s="122">
        <f>B26+1</f>
        <v>7</v>
      </c>
      <c r="C28" s="123">
        <v>155211122</v>
      </c>
      <c r="D28" s="106" t="s">
        <v>51</v>
      </c>
      <c r="E28" s="112" t="s">
        <v>46</v>
      </c>
      <c r="F28" s="108">
        <f>SUM(F29:F29)</f>
        <v>5</v>
      </c>
      <c r="G28" s="109">
        <v>3910</v>
      </c>
      <c r="H28" s="110">
        <f>F28*G28</f>
        <v>19550</v>
      </c>
      <c r="I28" s="132"/>
      <c r="J28" s="67"/>
      <c r="K28" s="67"/>
      <c r="L28" s="67"/>
      <c r="M28" s="67"/>
      <c r="N28" s="67"/>
      <c r="O28" s="67"/>
      <c r="P28" s="81"/>
    </row>
    <row r="29" spans="1:16" ht="21.6" customHeight="1">
      <c r="A29" s="36"/>
      <c r="B29" s="104"/>
      <c r="C29" s="105"/>
      <c r="D29" s="106" t="s">
        <v>52</v>
      </c>
      <c r="E29" s="107"/>
      <c r="F29" s="124">
        <f>CEILING(190*1*0.05*0.5,1)</f>
        <v>5</v>
      </c>
      <c r="G29" s="125"/>
      <c r="H29" s="126"/>
      <c r="I29" s="133"/>
      <c r="J29" s="67"/>
      <c r="K29" s="67"/>
      <c r="L29" s="67"/>
      <c r="M29" s="67"/>
      <c r="N29" s="67"/>
      <c r="O29" s="67"/>
      <c r="P29" s="81"/>
    </row>
    <row r="30" spans="1:16" ht="24.6" customHeight="1">
      <c r="A30" s="36"/>
      <c r="B30" s="122">
        <f>B28+1</f>
        <v>8</v>
      </c>
      <c r="C30" s="123">
        <v>155211122</v>
      </c>
      <c r="D30" s="106" t="s">
        <v>53</v>
      </c>
      <c r="E30" s="112" t="s">
        <v>46</v>
      </c>
      <c r="F30" s="124">
        <f>SUM(F31:F31)</f>
        <v>2</v>
      </c>
      <c r="G30" s="125">
        <v>3910</v>
      </c>
      <c r="H30" s="126">
        <f>F30*G30</f>
        <v>7820</v>
      </c>
      <c r="I30" s="88"/>
      <c r="J30" s="67"/>
      <c r="K30" s="67"/>
      <c r="L30" s="67"/>
      <c r="M30" s="67"/>
      <c r="N30" s="67"/>
      <c r="O30" s="67"/>
      <c r="P30" s="81"/>
    </row>
    <row r="31" spans="1:16" ht="13.2" customHeight="1">
      <c r="A31" s="36"/>
      <c r="B31" s="104"/>
      <c r="C31" s="105"/>
      <c r="D31" s="129" t="s">
        <v>54</v>
      </c>
      <c r="E31" s="130"/>
      <c r="F31" s="131">
        <v>2</v>
      </c>
      <c r="G31" s="125"/>
      <c r="H31" s="126"/>
      <c r="I31" s="88"/>
      <c r="J31" s="67"/>
      <c r="K31" s="67"/>
      <c r="L31" s="67"/>
      <c r="M31" s="67"/>
      <c r="N31" s="67"/>
      <c r="O31" s="67"/>
      <c r="P31" s="81"/>
    </row>
    <row r="32" spans="1:16" ht="13.2" customHeight="1">
      <c r="A32" s="36"/>
      <c r="B32" s="111">
        <f>B30+1</f>
        <v>9</v>
      </c>
      <c r="C32" s="123">
        <f>C26+1</f>
        <v>112151113</v>
      </c>
      <c r="D32" s="106" t="s">
        <v>55</v>
      </c>
      <c r="E32" s="112" t="s">
        <v>35</v>
      </c>
      <c r="F32" s="124">
        <f>F33</f>
        <v>126</v>
      </c>
      <c r="G32" s="125">
        <v>305</v>
      </c>
      <c r="H32" s="126">
        <f>F32*G32</f>
        <v>38430</v>
      </c>
      <c r="I32" s="88"/>
      <c r="J32" s="67"/>
      <c r="K32" s="67"/>
      <c r="L32" s="67"/>
      <c r="M32" s="67"/>
      <c r="N32" s="67"/>
      <c r="O32" s="67"/>
      <c r="P32" s="81"/>
    </row>
    <row r="33" spans="1:16" ht="13.2" customHeight="1">
      <c r="A33" s="36"/>
      <c r="B33" s="104"/>
      <c r="C33" s="105"/>
      <c r="D33" s="106" t="s">
        <v>56</v>
      </c>
      <c r="E33" s="107"/>
      <c r="F33" s="124">
        <f>CEILING((42*10*1*0.3),1)</f>
        <v>126</v>
      </c>
      <c r="G33" s="125"/>
      <c r="H33" s="126"/>
      <c r="I33" s="88"/>
      <c r="J33" s="67"/>
      <c r="K33" s="67"/>
      <c r="L33" s="67"/>
      <c r="M33" s="67"/>
      <c r="N33" s="67"/>
      <c r="O33" s="67"/>
      <c r="P33" s="81"/>
    </row>
    <row r="34" spans="1:16" ht="13.2" customHeight="1">
      <c r="A34" s="36"/>
      <c r="B34" s="111">
        <f>B32+1</f>
        <v>10</v>
      </c>
      <c r="C34" s="123">
        <v>155214111</v>
      </c>
      <c r="D34" s="106" t="s">
        <v>57</v>
      </c>
      <c r="E34" s="112" t="s">
        <v>35</v>
      </c>
      <c r="F34" s="124">
        <f>F35</f>
        <v>126</v>
      </c>
      <c r="G34" s="125">
        <v>305</v>
      </c>
      <c r="H34" s="126">
        <f>F34*G34</f>
        <v>38430</v>
      </c>
      <c r="I34" s="88"/>
      <c r="J34" s="67"/>
      <c r="K34" s="67"/>
      <c r="L34" s="67"/>
      <c r="M34" s="67"/>
      <c r="N34" s="67"/>
      <c r="O34" s="67"/>
      <c r="P34" s="81"/>
    </row>
    <row r="35" spans="1:16" ht="13.2" customHeight="1">
      <c r="A35" s="36"/>
      <c r="B35" s="104"/>
      <c r="C35" s="105"/>
      <c r="D35" s="106" t="s">
        <v>56</v>
      </c>
      <c r="E35" s="107"/>
      <c r="F35" s="124">
        <f>F32</f>
        <v>126</v>
      </c>
      <c r="G35" s="125"/>
      <c r="H35" s="126"/>
      <c r="I35" s="88"/>
      <c r="J35" s="67"/>
      <c r="K35" s="67"/>
      <c r="L35" s="67"/>
      <c r="M35" s="67"/>
      <c r="N35" s="67"/>
      <c r="O35" s="67"/>
      <c r="P35" s="81"/>
    </row>
    <row r="36" spans="1:16" ht="16.2" customHeight="1">
      <c r="A36" s="36"/>
      <c r="B36" s="122">
        <f>B34+1</f>
        <v>11</v>
      </c>
      <c r="C36" s="123">
        <v>155211311</v>
      </c>
      <c r="D36" s="106" t="s">
        <v>58</v>
      </c>
      <c r="E36" s="112" t="s">
        <v>46</v>
      </c>
      <c r="F36" s="124">
        <f>SUM(F37:F37)</f>
        <v>10</v>
      </c>
      <c r="G36" s="125">
        <v>4770</v>
      </c>
      <c r="H36" s="126">
        <f>F36*G36</f>
        <v>47700</v>
      </c>
      <c r="I36" s="88"/>
      <c r="J36" s="67"/>
      <c r="K36" s="67"/>
      <c r="L36" s="67"/>
      <c r="M36" s="67"/>
      <c r="N36" s="67"/>
      <c r="O36" s="67"/>
      <c r="P36" s="81"/>
    </row>
    <row r="37" spans="1:16" ht="13.2" customHeight="1">
      <c r="A37" s="36"/>
      <c r="B37" s="104"/>
      <c r="C37" s="105"/>
      <c r="D37" s="106" t="s">
        <v>59</v>
      </c>
      <c r="E37" s="107"/>
      <c r="F37" s="124">
        <v>10</v>
      </c>
      <c r="G37" s="125"/>
      <c r="H37" s="126"/>
      <c r="I37" s="88"/>
      <c r="J37" s="67"/>
      <c r="K37" s="67"/>
      <c r="L37" s="67"/>
      <c r="M37" s="67"/>
      <c r="N37" s="67"/>
      <c r="O37" s="67"/>
      <c r="P37" s="81"/>
    </row>
    <row r="38" spans="1:16" ht="13.2" customHeight="1">
      <c r="A38" s="36"/>
      <c r="B38" s="122">
        <f>B36+1</f>
        <v>12</v>
      </c>
      <c r="C38" s="123">
        <v>122312501</v>
      </c>
      <c r="D38" s="106" t="s">
        <v>60</v>
      </c>
      <c r="E38" s="112" t="s">
        <v>46</v>
      </c>
      <c r="F38" s="124">
        <f>SUM(F39:F39)</f>
        <v>15</v>
      </c>
      <c r="G38" s="125">
        <v>750</v>
      </c>
      <c r="H38" s="126">
        <f>F38*G38</f>
        <v>11250</v>
      </c>
      <c r="I38" s="88"/>
      <c r="J38" s="67"/>
      <c r="K38" s="67"/>
      <c r="L38" s="67"/>
      <c r="M38" s="67"/>
      <c r="N38" s="67"/>
      <c r="O38" s="67"/>
      <c r="P38" s="81"/>
    </row>
    <row r="39" spans="1:16" ht="22.95" customHeight="1">
      <c r="A39" s="36"/>
      <c r="B39" s="134"/>
      <c r="C39" s="135"/>
      <c r="D39" s="115" t="s">
        <v>61</v>
      </c>
      <c r="E39" s="136"/>
      <c r="F39" s="137">
        <f>CEILING(113*0.5*0.25,1)</f>
        <v>15</v>
      </c>
      <c r="G39" s="138"/>
      <c r="H39" s="139"/>
      <c r="I39" s="88"/>
      <c r="J39" s="67"/>
      <c r="K39" s="67"/>
      <c r="L39" s="67"/>
      <c r="M39" s="67"/>
      <c r="N39" s="67"/>
      <c r="O39" s="67"/>
      <c r="P39" s="81"/>
    </row>
    <row r="40" spans="1:16" ht="13.8" customHeight="1">
      <c r="A40" s="36"/>
      <c r="B40" s="94" t="s">
        <v>62</v>
      </c>
      <c r="C40" s="95"/>
      <c r="D40" s="95"/>
      <c r="E40" s="95"/>
      <c r="F40" s="95"/>
      <c r="G40" s="95"/>
      <c r="H40" s="96">
        <f>SUM(H41:H50)</f>
        <v>49937.7662428023</v>
      </c>
      <c r="I40" s="88"/>
      <c r="J40" s="67"/>
      <c r="K40" s="67"/>
      <c r="L40" s="67"/>
      <c r="M40" s="67"/>
      <c r="N40" s="67"/>
      <c r="O40" s="67"/>
      <c r="P40" s="81"/>
    </row>
    <row r="41" spans="1:16" ht="24" customHeight="1">
      <c r="A41" s="36"/>
      <c r="B41" s="119">
        <f>B38+1</f>
        <v>13</v>
      </c>
      <c r="C41" s="120">
        <v>155212116</v>
      </c>
      <c r="D41" s="100" t="s">
        <v>63</v>
      </c>
      <c r="E41" s="99" t="s">
        <v>64</v>
      </c>
      <c r="F41" s="140">
        <f>SUM(F42:F42)</f>
        <v>20</v>
      </c>
      <c r="G41" s="141">
        <v>952</v>
      </c>
      <c r="H41" s="142">
        <f>F41*G41</f>
        <v>19040</v>
      </c>
      <c r="I41" s="88"/>
      <c r="J41" s="67"/>
      <c r="K41" s="67"/>
      <c r="L41" s="67"/>
      <c r="M41" s="67"/>
      <c r="N41" s="67"/>
      <c r="O41" s="67"/>
      <c r="P41" s="81"/>
    </row>
    <row r="42" spans="1:16" ht="13.2" customHeight="1">
      <c r="A42" s="36"/>
      <c r="B42" s="104"/>
      <c r="C42" s="105"/>
      <c r="D42" s="106" t="s">
        <v>65</v>
      </c>
      <c r="E42" s="107"/>
      <c r="F42" s="124">
        <f>CEILING(F43*2,1)</f>
        <v>20</v>
      </c>
      <c r="G42" s="125"/>
      <c r="H42" s="126"/>
      <c r="I42" s="143"/>
      <c r="J42" s="67"/>
      <c r="K42" s="67"/>
      <c r="L42" s="67"/>
      <c r="M42" s="67"/>
      <c r="N42" s="67"/>
      <c r="O42" s="67"/>
      <c r="P42" s="81"/>
    </row>
    <row r="43" spans="1:16" ht="26.4" customHeight="1">
      <c r="A43" s="36"/>
      <c r="B43" s="122">
        <f>B41+1</f>
        <v>14</v>
      </c>
      <c r="C43" s="144"/>
      <c r="D43" s="106" t="s">
        <v>66</v>
      </c>
      <c r="E43" s="112" t="s">
        <v>49</v>
      </c>
      <c r="F43" s="124">
        <f>SUM(F44:F44)</f>
        <v>10</v>
      </c>
      <c r="G43" s="125">
        <v>1480</v>
      </c>
      <c r="H43" s="126">
        <f>F43*G43</f>
        <v>14800</v>
      </c>
      <c r="I43" s="88"/>
      <c r="J43" s="67"/>
      <c r="K43" s="67"/>
      <c r="L43" s="67"/>
      <c r="M43" s="67"/>
      <c r="N43" s="67"/>
      <c r="O43" s="67"/>
      <c r="P43" s="81"/>
    </row>
    <row r="44" spans="1:16" ht="13.2" customHeight="1">
      <c r="A44" s="36"/>
      <c r="B44" s="104"/>
      <c r="C44" s="105"/>
      <c r="D44" s="106" t="s">
        <v>67</v>
      </c>
      <c r="E44" s="107"/>
      <c r="F44" s="124">
        <v>10</v>
      </c>
      <c r="G44" s="125"/>
      <c r="H44" s="126"/>
      <c r="I44" s="88"/>
      <c r="J44" s="67"/>
      <c r="K44" s="67"/>
      <c r="L44" s="67"/>
      <c r="M44" s="67"/>
      <c r="N44" s="67"/>
      <c r="O44" s="67"/>
      <c r="P44" s="81"/>
    </row>
    <row r="45" spans="1:16" ht="28.2" customHeight="1">
      <c r="A45" s="36"/>
      <c r="B45" s="122">
        <f>B43+1</f>
        <v>15</v>
      </c>
      <c r="C45" s="145" t="s">
        <v>68</v>
      </c>
      <c r="D45" s="106" t="s">
        <v>69</v>
      </c>
      <c r="E45" s="112" t="s">
        <v>70</v>
      </c>
      <c r="F45" s="124">
        <f>SUM(F46:F46)</f>
        <v>0.383274303737955</v>
      </c>
      <c r="G45" s="125">
        <v>3960</v>
      </c>
      <c r="H45" s="126">
        <f>F45*G45</f>
        <v>1517.7662428023</v>
      </c>
      <c r="I45" s="88"/>
      <c r="J45" s="67"/>
      <c r="K45" s="67"/>
      <c r="L45" s="67"/>
      <c r="M45" s="67"/>
      <c r="N45" s="67"/>
      <c r="O45" s="67"/>
      <c r="P45" s="81"/>
    </row>
    <row r="46" spans="1:16" ht="24" customHeight="1">
      <c r="A46" s="36"/>
      <c r="B46" s="104"/>
      <c r="C46" s="105"/>
      <c r="D46" s="106" t="s">
        <v>71</v>
      </c>
      <c r="E46" s="107"/>
      <c r="F46" s="124">
        <f>(PI())*(0.05^2)*F41*1.22*2</f>
        <v>0.383274303737955</v>
      </c>
      <c r="G46" s="125"/>
      <c r="H46" s="126"/>
      <c r="I46" s="88"/>
      <c r="J46" s="67"/>
      <c r="K46" s="67"/>
      <c r="L46" s="67"/>
      <c r="M46" s="67"/>
      <c r="N46" s="67"/>
      <c r="O46" s="67"/>
      <c r="P46" s="81"/>
    </row>
    <row r="47" spans="1:16" ht="13.2" customHeight="1">
      <c r="A47" s="36"/>
      <c r="B47" s="122">
        <f>B45+1</f>
        <v>16</v>
      </c>
      <c r="C47" s="123">
        <v>281604111</v>
      </c>
      <c r="D47" s="106" t="s">
        <v>72</v>
      </c>
      <c r="E47" s="112" t="s">
        <v>73</v>
      </c>
      <c r="F47" s="124">
        <f>SUM(F48:F48)</f>
        <v>6</v>
      </c>
      <c r="G47" s="125">
        <v>2260</v>
      </c>
      <c r="H47" s="126">
        <f>F47*G47</f>
        <v>13560</v>
      </c>
      <c r="I47" s="121"/>
      <c r="J47" s="67"/>
      <c r="K47" s="67"/>
      <c r="L47" s="67"/>
      <c r="M47" s="67"/>
      <c r="N47" s="67"/>
      <c r="O47" s="67"/>
      <c r="P47" s="81"/>
    </row>
    <row r="48" spans="1:16" ht="13.2" customHeight="1">
      <c r="A48" s="36"/>
      <c r="B48" s="127"/>
      <c r="C48" s="128"/>
      <c r="D48" s="106" t="s">
        <v>74</v>
      </c>
      <c r="E48" s="107"/>
      <c r="F48" s="124">
        <f>CEILING((F41)*0.3,1)</f>
        <v>6</v>
      </c>
      <c r="G48" s="125"/>
      <c r="H48" s="126"/>
      <c r="I48" s="88"/>
      <c r="J48" s="67"/>
      <c r="K48" s="67"/>
      <c r="L48" s="67"/>
      <c r="M48" s="67"/>
      <c r="N48" s="67"/>
      <c r="O48" s="67"/>
      <c r="P48" s="81"/>
    </row>
    <row r="49" spans="1:16" ht="13.2" customHeight="1">
      <c r="A49" s="36"/>
      <c r="B49" s="122">
        <f>B47+1</f>
        <v>17</v>
      </c>
      <c r="C49" s="145" t="s">
        <v>75</v>
      </c>
      <c r="D49" s="106" t="s">
        <v>76</v>
      </c>
      <c r="E49" s="112" t="s">
        <v>35</v>
      </c>
      <c r="F49" s="124">
        <f>SUM(F50:F50)</f>
        <v>1.2</v>
      </c>
      <c r="G49" s="125">
        <v>850</v>
      </c>
      <c r="H49" s="126">
        <f>F49*G49</f>
        <v>1020</v>
      </c>
      <c r="I49" s="88"/>
      <c r="J49" s="67"/>
      <c r="K49" s="67"/>
      <c r="L49" s="67"/>
      <c r="M49" s="67"/>
      <c r="N49" s="67"/>
      <c r="O49" s="67"/>
      <c r="P49" s="81"/>
    </row>
    <row r="50" spans="1:16" ht="13.8" customHeight="1">
      <c r="A50" s="36"/>
      <c r="B50" s="134"/>
      <c r="C50" s="135"/>
      <c r="D50" s="115" t="s">
        <v>77</v>
      </c>
      <c r="E50" s="136"/>
      <c r="F50" s="137">
        <f>F44*0.06*2</f>
        <v>1.2</v>
      </c>
      <c r="G50" s="138"/>
      <c r="H50" s="139"/>
      <c r="I50" s="88"/>
      <c r="J50" s="67"/>
      <c r="K50" s="67"/>
      <c r="L50" s="67"/>
      <c r="M50" s="67"/>
      <c r="N50" s="67"/>
      <c r="O50" s="67"/>
      <c r="P50" s="81"/>
    </row>
    <row r="51" spans="1:16" ht="13.8" customHeight="1">
      <c r="A51" s="36"/>
      <c r="B51" s="94" t="s">
        <v>78</v>
      </c>
      <c r="C51" s="95"/>
      <c r="D51" s="95"/>
      <c r="E51" s="95"/>
      <c r="F51" s="95"/>
      <c r="G51" s="95"/>
      <c r="H51" s="96">
        <f>SUM(H52:H75)</f>
        <v>490286.763398065</v>
      </c>
      <c r="I51" s="88"/>
      <c r="J51" s="67"/>
      <c r="K51" s="67"/>
      <c r="L51" s="67"/>
      <c r="M51" s="67"/>
      <c r="N51" s="67"/>
      <c r="O51" s="67"/>
      <c r="P51" s="81"/>
    </row>
    <row r="52" spans="1:16" ht="26.4" customHeight="1">
      <c r="A52" s="36"/>
      <c r="B52" s="119">
        <f>B49+1</f>
        <v>18</v>
      </c>
      <c r="C52" s="120">
        <v>155212116</v>
      </c>
      <c r="D52" s="100" t="s">
        <v>63</v>
      </c>
      <c r="E52" s="99" t="s">
        <v>64</v>
      </c>
      <c r="F52" s="140">
        <f>SUM(F53:F53)</f>
        <v>0</v>
      </c>
      <c r="G52" s="141">
        <v>952</v>
      </c>
      <c r="H52" s="142">
        <f>F52*G52</f>
        <v>0</v>
      </c>
      <c r="I52" s="88"/>
      <c r="J52" s="67"/>
      <c r="K52" s="67"/>
      <c r="L52" s="67"/>
      <c r="M52" s="67"/>
      <c r="N52" s="67"/>
      <c r="O52" s="67"/>
      <c r="P52" s="81"/>
    </row>
    <row r="53" spans="1:16" ht="13.2" customHeight="1">
      <c r="A53" s="36"/>
      <c r="B53" s="127"/>
      <c r="C53" s="128"/>
      <c r="D53" s="106" t="s">
        <v>79</v>
      </c>
      <c r="E53" s="107"/>
      <c r="F53" s="124">
        <f>CEILING((F57)*2,1)</f>
        <v>0</v>
      </c>
      <c r="G53" s="125"/>
      <c r="H53" s="126"/>
      <c r="I53" s="88"/>
      <c r="J53" s="67"/>
      <c r="K53" s="67"/>
      <c r="L53" s="67"/>
      <c r="M53" s="67"/>
      <c r="N53" s="67"/>
      <c r="O53" s="67"/>
      <c r="P53" s="81"/>
    </row>
    <row r="54" spans="1:16" ht="27" customHeight="1">
      <c r="A54" s="36"/>
      <c r="B54" s="122">
        <f>B52+1</f>
        <v>19</v>
      </c>
      <c r="C54" s="123">
        <v>155213611</v>
      </c>
      <c r="D54" s="106" t="s">
        <v>80</v>
      </c>
      <c r="E54" s="112" t="s">
        <v>49</v>
      </c>
      <c r="F54" s="124">
        <f>SUM(F55:F55)</f>
        <v>83</v>
      </c>
      <c r="G54" s="125">
        <v>2220</v>
      </c>
      <c r="H54" s="126">
        <f>F54*G54</f>
        <v>184260</v>
      </c>
      <c r="I54" s="88"/>
      <c r="J54" s="67"/>
      <c r="K54" s="67"/>
      <c r="L54" s="67"/>
      <c r="M54" s="67"/>
      <c r="N54" s="67"/>
      <c r="O54" s="67"/>
      <c r="P54" s="81"/>
    </row>
    <row r="55" spans="1:16" ht="20.4" customHeight="1">
      <c r="A55" s="36"/>
      <c r="B55" s="127"/>
      <c r="C55" s="128"/>
      <c r="D55" s="129" t="s">
        <v>81</v>
      </c>
      <c r="E55" s="130"/>
      <c r="F55" s="131">
        <f>CEILING(((F59/3.5)+(F59*0.01)),1)</f>
        <v>83</v>
      </c>
      <c r="G55" s="125"/>
      <c r="H55" s="126"/>
      <c r="I55" s="88"/>
      <c r="J55" s="67"/>
      <c r="K55" s="67"/>
      <c r="L55" s="67"/>
      <c r="M55" s="67"/>
      <c r="N55" s="67"/>
      <c r="O55" s="67"/>
      <c r="P55" s="81"/>
    </row>
    <row r="56" spans="1:16" ht="31.2" customHeight="1">
      <c r="A56" s="36"/>
      <c r="B56" s="122">
        <f>B54+1</f>
        <v>20</v>
      </c>
      <c r="C56" s="123">
        <v>155213112</v>
      </c>
      <c r="D56" s="106" t="s">
        <v>82</v>
      </c>
      <c r="E56" s="112" t="s">
        <v>49</v>
      </c>
      <c r="F56" s="124">
        <f>SUM(F57:F57)</f>
        <v>0</v>
      </c>
      <c r="G56" s="125">
        <v>1430</v>
      </c>
      <c r="H56" s="126">
        <f>F56*G56</f>
        <v>0</v>
      </c>
      <c r="I56" s="88"/>
      <c r="J56" s="67"/>
      <c r="K56" s="67"/>
      <c r="L56" s="67"/>
      <c r="M56" s="67"/>
      <c r="N56" s="67"/>
      <c r="O56" s="67"/>
      <c r="P56" s="81"/>
    </row>
    <row r="57" spans="1:16" ht="24.6" customHeight="1">
      <c r="A57" s="36"/>
      <c r="B57" s="127"/>
      <c r="C57" s="128"/>
      <c r="D57" s="106" t="s">
        <v>83</v>
      </c>
      <c r="E57" s="107"/>
      <c r="F57" s="124"/>
      <c r="G57" s="125"/>
      <c r="H57" s="126"/>
      <c r="I57" s="88"/>
      <c r="J57" s="67"/>
      <c r="K57" s="67"/>
      <c r="L57" s="67"/>
      <c r="M57" s="67"/>
      <c r="N57" s="67"/>
      <c r="O57" s="67"/>
      <c r="P57" s="81"/>
    </row>
    <row r="58" spans="1:16" ht="13.2" customHeight="1">
      <c r="A58" s="36"/>
      <c r="B58" s="122">
        <f>B56+1</f>
        <v>21</v>
      </c>
      <c r="C58" s="123">
        <v>155214111</v>
      </c>
      <c r="D58" s="106" t="s">
        <v>57</v>
      </c>
      <c r="E58" s="112" t="s">
        <v>35</v>
      </c>
      <c r="F58" s="124">
        <f>SUM(F59:F59)</f>
        <v>280</v>
      </c>
      <c r="G58" s="125">
        <v>721</v>
      </c>
      <c r="H58" s="126">
        <f>F58*G58</f>
        <v>201880</v>
      </c>
      <c r="I58" s="88"/>
      <c r="J58" s="67"/>
      <c r="K58" s="67"/>
      <c r="L58" s="67"/>
      <c r="M58" s="67"/>
      <c r="N58" s="67"/>
      <c r="O58" s="67"/>
      <c r="P58" s="81"/>
    </row>
    <row r="59" spans="1:16" ht="13.2" customHeight="1">
      <c r="A59" s="36"/>
      <c r="B59" s="127"/>
      <c r="C59" s="128"/>
      <c r="D59" s="129" t="s">
        <v>84</v>
      </c>
      <c r="E59" s="130"/>
      <c r="F59" s="131">
        <f aca="true" t="shared" si="0" ref="F59:F84">CEILING((56*5),1)</f>
        <v>280</v>
      </c>
      <c r="G59" s="125"/>
      <c r="H59" s="126"/>
      <c r="I59" s="88"/>
      <c r="J59" s="67"/>
      <c r="K59" s="67"/>
      <c r="L59" s="67"/>
      <c r="M59" s="67"/>
      <c r="N59" s="67"/>
      <c r="O59" s="67"/>
      <c r="P59" s="81"/>
    </row>
    <row r="60" spans="1:16" ht="13.2" customHeight="1">
      <c r="A60" s="36"/>
      <c r="B60" s="122">
        <f>B58+1</f>
        <v>22</v>
      </c>
      <c r="C60" s="123">
        <v>31319153</v>
      </c>
      <c r="D60" s="106" t="s">
        <v>85</v>
      </c>
      <c r="E60" s="112" t="s">
        <v>35</v>
      </c>
      <c r="F60" s="124">
        <f>SUM(F61:F61)</f>
        <v>336</v>
      </c>
      <c r="G60" s="125">
        <v>110</v>
      </c>
      <c r="H60" s="126">
        <f>F60*G60</f>
        <v>36960</v>
      </c>
      <c r="I60" s="88"/>
      <c r="J60" s="67"/>
      <c r="K60" s="67"/>
      <c r="L60" s="67"/>
      <c r="M60" s="67"/>
      <c r="N60" s="67"/>
      <c r="O60" s="67"/>
      <c r="P60" s="81"/>
    </row>
    <row r="61" spans="1:16" ht="13.2" customHeight="1">
      <c r="A61" s="36"/>
      <c r="B61" s="127"/>
      <c r="C61" s="128"/>
      <c r="D61" s="129" t="s">
        <v>86</v>
      </c>
      <c r="E61" s="130"/>
      <c r="F61" s="131">
        <f>CEILING((F58)*1.2,1)</f>
        <v>336</v>
      </c>
      <c r="G61" s="125"/>
      <c r="H61" s="126"/>
      <c r="I61" s="88"/>
      <c r="J61" s="67"/>
      <c r="K61" s="67"/>
      <c r="L61" s="67"/>
      <c r="M61" s="67"/>
      <c r="N61" s="67"/>
      <c r="O61" s="67"/>
      <c r="P61" s="81"/>
    </row>
    <row r="62" spans="1:16" ht="26.4" customHeight="1">
      <c r="A62" s="97"/>
      <c r="B62" s="122">
        <f>B60+1</f>
        <v>23</v>
      </c>
      <c r="C62" s="123">
        <v>155214212</v>
      </c>
      <c r="D62" s="106" t="s">
        <v>87</v>
      </c>
      <c r="E62" s="112" t="s">
        <v>64</v>
      </c>
      <c r="F62" s="108">
        <f>SUM(F63:F63)</f>
        <v>122</v>
      </c>
      <c r="G62" s="109">
        <v>63.4</v>
      </c>
      <c r="H62" s="110">
        <f>F62*G62</f>
        <v>7734.8</v>
      </c>
      <c r="I62" s="88"/>
      <c r="J62" s="67"/>
      <c r="K62" s="67"/>
      <c r="L62" s="67"/>
      <c r="M62" s="67"/>
      <c r="N62" s="67"/>
      <c r="O62" s="67"/>
      <c r="P62" s="81"/>
    </row>
    <row r="63" spans="1:16" ht="9.6" customHeight="1">
      <c r="A63" s="97"/>
      <c r="B63" s="127"/>
      <c r="C63" s="128"/>
      <c r="D63" s="129" t="s">
        <v>88</v>
      </c>
      <c r="E63" s="130"/>
      <c r="F63" s="146">
        <f aca="true" t="shared" si="1" ref="F63:F88">CEILING((56+5)*2,1)</f>
        <v>122</v>
      </c>
      <c r="G63" s="109"/>
      <c r="H63" s="110"/>
      <c r="I63" s="88"/>
      <c r="J63" s="67"/>
      <c r="K63" s="67"/>
      <c r="L63" s="67"/>
      <c r="M63" s="67"/>
      <c r="N63" s="67"/>
      <c r="O63" s="67"/>
      <c r="P63" s="81"/>
    </row>
    <row r="64" spans="1:16" ht="13.2" customHeight="1">
      <c r="A64" s="97"/>
      <c r="B64" s="122">
        <f>B62+1</f>
        <v>24</v>
      </c>
      <c r="C64" s="123">
        <v>31452107</v>
      </c>
      <c r="D64" s="106" t="s">
        <v>89</v>
      </c>
      <c r="E64" s="112" t="s">
        <v>64</v>
      </c>
      <c r="F64" s="108">
        <f>SUM(F65:F65)</f>
        <v>147</v>
      </c>
      <c r="G64" s="109">
        <v>30.2</v>
      </c>
      <c r="H64" s="110">
        <f>F64*G64</f>
        <v>4439.4</v>
      </c>
      <c r="I64" s="88"/>
      <c r="J64" s="67"/>
      <c r="K64" s="67"/>
      <c r="L64" s="67"/>
      <c r="M64" s="67"/>
      <c r="N64" s="67"/>
      <c r="O64" s="67"/>
      <c r="P64" s="81"/>
    </row>
    <row r="65" spans="1:16" ht="13.2" customHeight="1">
      <c r="A65" s="97"/>
      <c r="B65" s="127"/>
      <c r="C65" s="128"/>
      <c r="D65" s="129" t="s">
        <v>90</v>
      </c>
      <c r="E65" s="130"/>
      <c r="F65" s="146">
        <f>CEILING(F62*1.2,1)</f>
        <v>147</v>
      </c>
      <c r="G65" s="109"/>
      <c r="H65" s="110"/>
      <c r="I65" s="88"/>
      <c r="J65" s="67"/>
      <c r="K65" s="67"/>
      <c r="L65" s="67"/>
      <c r="M65" s="67"/>
      <c r="N65" s="67"/>
      <c r="O65" s="67"/>
      <c r="P65" s="81"/>
    </row>
    <row r="66" spans="1:16" ht="13.2" customHeight="1">
      <c r="A66" s="97"/>
      <c r="B66" s="122">
        <f>B64+1</f>
        <v>25</v>
      </c>
      <c r="C66" s="123">
        <v>31452182</v>
      </c>
      <c r="D66" s="106" t="s">
        <v>91</v>
      </c>
      <c r="E66" s="112" t="s">
        <v>49</v>
      </c>
      <c r="F66" s="108">
        <f>SUM(F67:F67)</f>
        <v>20</v>
      </c>
      <c r="G66" s="109">
        <v>5.3</v>
      </c>
      <c r="H66" s="110">
        <f>F66*G66</f>
        <v>106</v>
      </c>
      <c r="I66" s="88"/>
      <c r="J66" s="67"/>
      <c r="K66" s="67"/>
      <c r="L66" s="67"/>
      <c r="M66" s="67"/>
      <c r="N66" s="67"/>
      <c r="O66" s="67"/>
      <c r="P66" s="81"/>
    </row>
    <row r="67" spans="1:16" ht="13.2" customHeight="1">
      <c r="A67" s="97"/>
      <c r="B67" s="127"/>
      <c r="C67" s="128"/>
      <c r="D67" s="129" t="s">
        <v>92</v>
      </c>
      <c r="E67" s="130"/>
      <c r="F67" s="146">
        <f>((CEILING((F62/15),1)+1)*2)</f>
        <v>20</v>
      </c>
      <c r="G67" s="109"/>
      <c r="H67" s="110"/>
      <c r="I67" s="88"/>
      <c r="J67" s="67"/>
      <c r="K67" s="67"/>
      <c r="L67" s="67"/>
      <c r="M67" s="67"/>
      <c r="N67" s="67"/>
      <c r="O67" s="67"/>
      <c r="P67" s="81"/>
    </row>
    <row r="68" spans="1:16" ht="18.6" customHeight="1">
      <c r="A68" s="97"/>
      <c r="B68" s="122">
        <f>B66+1</f>
        <v>26</v>
      </c>
      <c r="C68" s="145" t="s">
        <v>93</v>
      </c>
      <c r="D68" s="106" t="s">
        <v>94</v>
      </c>
      <c r="E68" s="112" t="s">
        <v>95</v>
      </c>
      <c r="F68" s="108">
        <f>SUM(F69:F69)</f>
        <v>2</v>
      </c>
      <c r="G68" s="109">
        <v>2035</v>
      </c>
      <c r="H68" s="110">
        <f>F68*G68</f>
        <v>4070</v>
      </c>
      <c r="I68" s="88"/>
      <c r="J68" s="67"/>
      <c r="K68" s="67"/>
      <c r="L68" s="67"/>
      <c r="M68" s="67"/>
      <c r="N68" s="67"/>
      <c r="O68" s="67"/>
      <c r="P68" s="81"/>
    </row>
    <row r="69" spans="1:16" ht="13.2" customHeight="1">
      <c r="A69" s="97"/>
      <c r="B69" s="127"/>
      <c r="C69" s="128"/>
      <c r="D69" s="129" t="s">
        <v>96</v>
      </c>
      <c r="E69" s="130"/>
      <c r="F69" s="146">
        <f>CEILING((F58*8)/1600,1)</f>
        <v>2</v>
      </c>
      <c r="G69" s="109"/>
      <c r="H69" s="110"/>
      <c r="I69" s="88"/>
      <c r="J69" s="67"/>
      <c r="K69" s="67"/>
      <c r="L69" s="67"/>
      <c r="M69" s="67"/>
      <c r="N69" s="67"/>
      <c r="O69" s="67"/>
      <c r="P69" s="81"/>
    </row>
    <row r="70" spans="1:16" ht="27" customHeight="1">
      <c r="A70" s="97"/>
      <c r="B70" s="122">
        <f>B68+1</f>
        <v>27</v>
      </c>
      <c r="C70" s="145" t="s">
        <v>68</v>
      </c>
      <c r="D70" s="106" t="s">
        <v>69</v>
      </c>
      <c r="E70" s="112" t="s">
        <v>70</v>
      </c>
      <c r="F70" s="108">
        <f>SUM(F71:F71)</f>
        <v>0.997617019713448</v>
      </c>
      <c r="G70" s="109">
        <v>3960</v>
      </c>
      <c r="H70" s="110">
        <f>F70*G70</f>
        <v>3950.56339806525</v>
      </c>
      <c r="I70" s="88"/>
      <c r="J70" s="67"/>
      <c r="K70" s="67"/>
      <c r="L70" s="67"/>
      <c r="M70" s="67"/>
      <c r="N70" s="67"/>
      <c r="O70" s="67"/>
      <c r="P70" s="81"/>
    </row>
    <row r="71" spans="1:16" ht="27" customHeight="1">
      <c r="A71" s="97"/>
      <c r="B71" s="127"/>
      <c r="C71" s="128"/>
      <c r="D71" s="129" t="s">
        <v>97</v>
      </c>
      <c r="E71" s="130"/>
      <c r="F71" s="146">
        <f>(PI())*(0.028^2)*(F55*2)*1.22*2</f>
        <v>0.997617019713448</v>
      </c>
      <c r="G71" s="109"/>
      <c r="H71" s="110"/>
      <c r="I71" s="88"/>
      <c r="J71" s="67"/>
      <c r="K71" s="67"/>
      <c r="L71" s="67"/>
      <c r="M71" s="67"/>
      <c r="N71" s="67"/>
      <c r="O71" s="67"/>
      <c r="P71" s="81"/>
    </row>
    <row r="72" spans="1:16" ht="13.2" customHeight="1">
      <c r="A72" s="97"/>
      <c r="B72" s="122">
        <f>B70+1</f>
        <v>28</v>
      </c>
      <c r="C72" s="123">
        <v>281604111</v>
      </c>
      <c r="D72" s="106" t="s">
        <v>72</v>
      </c>
      <c r="E72" s="112" t="s">
        <v>73</v>
      </c>
      <c r="F72" s="108">
        <f>SUM(F73:F73)</f>
        <v>17</v>
      </c>
      <c r="G72" s="109">
        <v>2260</v>
      </c>
      <c r="H72" s="110">
        <f>F72*G72</f>
        <v>38420</v>
      </c>
      <c r="I72" s="88"/>
      <c r="J72" s="67"/>
      <c r="K72" s="67"/>
      <c r="L72" s="67"/>
      <c r="M72" s="67"/>
      <c r="N72" s="67"/>
      <c r="O72" s="67"/>
      <c r="P72" s="81"/>
    </row>
    <row r="73" spans="1:16" ht="13.2" customHeight="1">
      <c r="A73" s="97"/>
      <c r="B73" s="127"/>
      <c r="C73" s="128"/>
      <c r="D73" s="129" t="s">
        <v>98</v>
      </c>
      <c r="E73" s="130"/>
      <c r="F73" s="146">
        <f>CEILING((F54*2)*0.1,1)</f>
        <v>17</v>
      </c>
      <c r="G73" s="109"/>
      <c r="H73" s="110"/>
      <c r="I73" s="88"/>
      <c r="J73" s="67"/>
      <c r="K73" s="67"/>
      <c r="L73" s="67"/>
      <c r="M73" s="67"/>
      <c r="N73" s="67"/>
      <c r="O73" s="67"/>
      <c r="P73" s="81"/>
    </row>
    <row r="74" spans="1:16" ht="13.2" customHeight="1">
      <c r="A74" s="97"/>
      <c r="B74" s="122">
        <f>B72+1</f>
        <v>29</v>
      </c>
      <c r="C74" s="145" t="s">
        <v>75</v>
      </c>
      <c r="D74" s="106" t="s">
        <v>76</v>
      </c>
      <c r="E74" s="112" t="s">
        <v>35</v>
      </c>
      <c r="F74" s="108">
        <f>SUM(F75:F75)</f>
        <v>9.96</v>
      </c>
      <c r="G74" s="109">
        <v>850</v>
      </c>
      <c r="H74" s="110">
        <f>F74*G74</f>
        <v>8466</v>
      </c>
      <c r="I74" s="88"/>
      <c r="J74" s="67"/>
      <c r="K74" s="67"/>
      <c r="L74" s="67"/>
      <c r="M74" s="67"/>
      <c r="N74" s="67"/>
      <c r="O74" s="67"/>
      <c r="P74" s="81"/>
    </row>
    <row r="75" spans="1:16" ht="13.95" customHeight="1">
      <c r="A75" s="97"/>
      <c r="B75" s="147"/>
      <c r="C75" s="148"/>
      <c r="D75" s="149" t="s">
        <v>99</v>
      </c>
      <c r="E75" s="150"/>
      <c r="F75" s="151">
        <f>F55*0.06*2</f>
        <v>9.96</v>
      </c>
      <c r="G75" s="117"/>
      <c r="H75" s="118"/>
      <c r="I75" s="88"/>
      <c r="J75" s="67"/>
      <c r="K75" s="67"/>
      <c r="L75" s="67"/>
      <c r="M75" s="67"/>
      <c r="N75" s="67"/>
      <c r="O75" s="67"/>
      <c r="P75" s="81"/>
    </row>
    <row r="76" spans="1:16" ht="13.8" customHeight="1">
      <c r="A76" s="97"/>
      <c r="B76" s="94" t="s">
        <v>100</v>
      </c>
      <c r="C76" s="95"/>
      <c r="D76" s="95"/>
      <c r="E76" s="95"/>
      <c r="F76" s="95"/>
      <c r="G76" s="95"/>
      <c r="H76" s="96">
        <f>SUM(H77:H100)</f>
        <v>490286.763398065</v>
      </c>
      <c r="I76" s="88"/>
      <c r="J76" s="67"/>
      <c r="K76" s="67"/>
      <c r="L76" s="67"/>
      <c r="M76" s="67"/>
      <c r="N76" s="67"/>
      <c r="O76" s="67"/>
      <c r="P76" s="81"/>
    </row>
    <row r="77" spans="1:16" ht="26.4" customHeight="1">
      <c r="A77" s="97"/>
      <c r="B77" s="119">
        <f>B74+1</f>
        <v>30</v>
      </c>
      <c r="C77" s="120">
        <v>155212116</v>
      </c>
      <c r="D77" s="100" t="s">
        <v>63</v>
      </c>
      <c r="E77" s="99" t="s">
        <v>64</v>
      </c>
      <c r="F77" s="101">
        <f>SUM(F78:F78)</f>
        <v>0</v>
      </c>
      <c r="G77" s="102">
        <v>952</v>
      </c>
      <c r="H77" s="103">
        <f>F77*G77</f>
        <v>0</v>
      </c>
      <c r="I77" s="88"/>
      <c r="J77" s="67"/>
      <c r="K77" s="67"/>
      <c r="L77" s="67"/>
      <c r="M77" s="67"/>
      <c r="N77" s="67"/>
      <c r="O77" s="67"/>
      <c r="P77" s="81"/>
    </row>
    <row r="78" spans="1:16" ht="13.2" customHeight="1">
      <c r="A78" s="97"/>
      <c r="B78" s="127"/>
      <c r="C78" s="128"/>
      <c r="D78" s="106" t="s">
        <v>79</v>
      </c>
      <c r="E78" s="107"/>
      <c r="F78" s="108">
        <f>CEILING((F82)*2,1)</f>
        <v>0</v>
      </c>
      <c r="G78" s="109"/>
      <c r="H78" s="110"/>
      <c r="I78" s="88"/>
      <c r="J78" s="67"/>
      <c r="K78" s="67"/>
      <c r="L78" s="67"/>
      <c r="M78" s="67"/>
      <c r="N78" s="67"/>
      <c r="O78" s="67"/>
      <c r="P78" s="81"/>
    </row>
    <row r="79" spans="1:16" ht="26.4" customHeight="1">
      <c r="A79" s="97"/>
      <c r="B79" s="122">
        <f>B77+1</f>
        <v>31</v>
      </c>
      <c r="C79" s="123">
        <v>155213611</v>
      </c>
      <c r="D79" s="106" t="s">
        <v>80</v>
      </c>
      <c r="E79" s="112" t="s">
        <v>49</v>
      </c>
      <c r="F79" s="108">
        <f>SUM(F80:F80)</f>
        <v>83</v>
      </c>
      <c r="G79" s="109">
        <v>2220</v>
      </c>
      <c r="H79" s="110">
        <f>F79*G79</f>
        <v>184260</v>
      </c>
      <c r="I79" s="88"/>
      <c r="J79" s="67"/>
      <c r="K79" s="67"/>
      <c r="L79" s="67"/>
      <c r="M79" s="67"/>
      <c r="N79" s="67"/>
      <c r="O79" s="67"/>
      <c r="P79" s="81"/>
    </row>
    <row r="80" spans="1:16" ht="23.4" customHeight="1">
      <c r="A80" s="97"/>
      <c r="B80" s="127"/>
      <c r="C80" s="128"/>
      <c r="D80" s="129" t="s">
        <v>81</v>
      </c>
      <c r="E80" s="130"/>
      <c r="F80" s="146">
        <f>CEILING(((F84/3.5)+(F84*0.01)),1)</f>
        <v>83</v>
      </c>
      <c r="G80" s="109"/>
      <c r="H80" s="110"/>
      <c r="I80" s="88"/>
      <c r="J80" s="67"/>
      <c r="K80" s="67"/>
      <c r="L80" s="67"/>
      <c r="M80" s="67"/>
      <c r="N80" s="67"/>
      <c r="O80" s="67"/>
      <c r="P80" s="81"/>
    </row>
    <row r="81" spans="1:16" ht="26.4" customHeight="1">
      <c r="A81" s="97"/>
      <c r="B81" s="122">
        <f>B79+1</f>
        <v>32</v>
      </c>
      <c r="C81" s="123">
        <v>155213112</v>
      </c>
      <c r="D81" s="106" t="s">
        <v>82</v>
      </c>
      <c r="E81" s="112" t="s">
        <v>49</v>
      </c>
      <c r="F81" s="108">
        <f>SUM(F82:F82)</f>
        <v>0</v>
      </c>
      <c r="G81" s="109">
        <v>1430</v>
      </c>
      <c r="H81" s="110">
        <f>F81*G81</f>
        <v>0</v>
      </c>
      <c r="I81" s="88"/>
      <c r="J81" s="67"/>
      <c r="K81" s="67"/>
      <c r="L81" s="67"/>
      <c r="M81" s="67"/>
      <c r="N81" s="67"/>
      <c r="O81" s="67"/>
      <c r="P81" s="81"/>
    </row>
    <row r="82" spans="1:16" ht="13.2" customHeight="1">
      <c r="A82" s="97"/>
      <c r="B82" s="127"/>
      <c r="C82" s="128"/>
      <c r="D82" s="106" t="s">
        <v>83</v>
      </c>
      <c r="E82" s="107"/>
      <c r="F82" s="108"/>
      <c r="G82" s="109"/>
      <c r="H82" s="110"/>
      <c r="I82" s="88"/>
      <c r="J82" s="67"/>
      <c r="K82" s="67"/>
      <c r="L82" s="67"/>
      <c r="M82" s="67"/>
      <c r="N82" s="67"/>
      <c r="O82" s="67"/>
      <c r="P82" s="81"/>
    </row>
    <row r="83" spans="1:16" ht="13.2" customHeight="1">
      <c r="A83" s="97"/>
      <c r="B83" s="122">
        <f>B81+1</f>
        <v>33</v>
      </c>
      <c r="C83" s="123">
        <v>155214111</v>
      </c>
      <c r="D83" s="106" t="s">
        <v>57</v>
      </c>
      <c r="E83" s="112" t="s">
        <v>35</v>
      </c>
      <c r="F83" s="108">
        <f>SUM(F84:F84)</f>
        <v>280</v>
      </c>
      <c r="G83" s="109">
        <v>721</v>
      </c>
      <c r="H83" s="110">
        <f>F83*G83</f>
        <v>201880</v>
      </c>
      <c r="I83" s="88"/>
      <c r="J83" s="67"/>
      <c r="K83" s="67"/>
      <c r="L83" s="67"/>
      <c r="M83" s="67"/>
      <c r="N83" s="67"/>
      <c r="O83" s="67"/>
      <c r="P83" s="81"/>
    </row>
    <row r="84" spans="1:16" ht="13.2" customHeight="1">
      <c r="A84" s="97"/>
      <c r="B84" s="127"/>
      <c r="C84" s="128"/>
      <c r="D84" s="129" t="s">
        <v>84</v>
      </c>
      <c r="E84" s="130"/>
      <c r="F84" s="146">
        <f t="shared" si="0"/>
        <v>280</v>
      </c>
      <c r="G84" s="109"/>
      <c r="H84" s="110"/>
      <c r="I84" s="88"/>
      <c r="J84" s="67"/>
      <c r="K84" s="67"/>
      <c r="L84" s="67"/>
      <c r="M84" s="67"/>
      <c r="N84" s="67"/>
      <c r="O84" s="67"/>
      <c r="P84" s="81"/>
    </row>
    <row r="85" spans="1:16" ht="17.4" customHeight="1">
      <c r="A85" s="97"/>
      <c r="B85" s="122">
        <f>B83+1</f>
        <v>34</v>
      </c>
      <c r="C85" s="123">
        <v>31319153</v>
      </c>
      <c r="D85" s="106" t="s">
        <v>85</v>
      </c>
      <c r="E85" s="112" t="s">
        <v>35</v>
      </c>
      <c r="F85" s="108">
        <f>SUM(F86:F86)</f>
        <v>336</v>
      </c>
      <c r="G85" s="109">
        <v>110</v>
      </c>
      <c r="H85" s="110">
        <f>F85*G85</f>
        <v>36960</v>
      </c>
      <c r="I85" s="88"/>
      <c r="J85" s="67"/>
      <c r="K85" s="67"/>
      <c r="L85" s="67"/>
      <c r="M85" s="67"/>
      <c r="N85" s="67"/>
      <c r="O85" s="67"/>
      <c r="P85" s="81"/>
    </row>
    <row r="86" spans="1:16" ht="13.2" customHeight="1">
      <c r="A86" s="97"/>
      <c r="B86" s="127"/>
      <c r="C86" s="128"/>
      <c r="D86" s="129" t="s">
        <v>86</v>
      </c>
      <c r="E86" s="130"/>
      <c r="F86" s="146">
        <f>CEILING((F83)*1.2,1)</f>
        <v>336</v>
      </c>
      <c r="G86" s="109"/>
      <c r="H86" s="110"/>
      <c r="I86" s="88"/>
      <c r="J86" s="67"/>
      <c r="K86" s="67"/>
      <c r="L86" s="67"/>
      <c r="M86" s="67"/>
      <c r="N86" s="67"/>
      <c r="O86" s="67"/>
      <c r="P86" s="81"/>
    </row>
    <row r="87" spans="1:16" ht="26.4" customHeight="1">
      <c r="A87" s="97"/>
      <c r="B87" s="122">
        <f>B85+1</f>
        <v>35</v>
      </c>
      <c r="C87" s="123">
        <v>155214212</v>
      </c>
      <c r="D87" s="106" t="s">
        <v>87</v>
      </c>
      <c r="E87" s="112" t="s">
        <v>64</v>
      </c>
      <c r="F87" s="108">
        <f>SUM(F88:F88)</f>
        <v>122</v>
      </c>
      <c r="G87" s="109">
        <v>63.4</v>
      </c>
      <c r="H87" s="110">
        <f>F87*G87</f>
        <v>7734.8</v>
      </c>
      <c r="I87" s="88"/>
      <c r="J87" s="67"/>
      <c r="K87" s="67"/>
      <c r="L87" s="67"/>
      <c r="M87" s="67"/>
      <c r="N87" s="67"/>
      <c r="O87" s="67"/>
      <c r="P87" s="81"/>
    </row>
    <row r="88" spans="1:16" ht="13.2" customHeight="1">
      <c r="A88" s="97"/>
      <c r="B88" s="127"/>
      <c r="C88" s="128"/>
      <c r="D88" s="129" t="s">
        <v>88</v>
      </c>
      <c r="E88" s="130"/>
      <c r="F88" s="146">
        <f t="shared" si="1"/>
        <v>122</v>
      </c>
      <c r="G88" s="109"/>
      <c r="H88" s="110"/>
      <c r="I88" s="88"/>
      <c r="J88" s="67"/>
      <c r="K88" s="67"/>
      <c r="L88" s="67"/>
      <c r="M88" s="67"/>
      <c r="N88" s="67"/>
      <c r="O88" s="67"/>
      <c r="P88" s="81"/>
    </row>
    <row r="89" spans="1:16" ht="13.2" customHeight="1">
      <c r="A89" s="97"/>
      <c r="B89" s="122">
        <f>B87+1</f>
        <v>36</v>
      </c>
      <c r="C89" s="123">
        <v>31452107</v>
      </c>
      <c r="D89" s="106" t="s">
        <v>89</v>
      </c>
      <c r="E89" s="112" t="s">
        <v>64</v>
      </c>
      <c r="F89" s="108">
        <f>SUM(F90:F90)</f>
        <v>147</v>
      </c>
      <c r="G89" s="109">
        <v>30.2</v>
      </c>
      <c r="H89" s="110">
        <f>F89*G89</f>
        <v>4439.4</v>
      </c>
      <c r="I89" s="88"/>
      <c r="J89" s="67"/>
      <c r="K89" s="67"/>
      <c r="L89" s="67"/>
      <c r="M89" s="67"/>
      <c r="N89" s="67"/>
      <c r="O89" s="67"/>
      <c r="P89" s="81"/>
    </row>
    <row r="90" spans="1:16" ht="25.95" customHeight="1">
      <c r="A90" s="97"/>
      <c r="B90" s="127"/>
      <c r="C90" s="128"/>
      <c r="D90" s="129" t="s">
        <v>90</v>
      </c>
      <c r="E90" s="130"/>
      <c r="F90" s="146">
        <f>CEILING(F87*1.2,1)</f>
        <v>147</v>
      </c>
      <c r="G90" s="109"/>
      <c r="H90" s="110"/>
      <c r="I90" s="88"/>
      <c r="J90" s="67"/>
      <c r="K90" s="67"/>
      <c r="L90" s="67"/>
      <c r="M90" s="67"/>
      <c r="N90" s="67"/>
      <c r="O90" s="67"/>
      <c r="P90" s="81"/>
    </row>
    <row r="91" spans="1:16" ht="13.2" customHeight="1">
      <c r="A91" s="97"/>
      <c r="B91" s="122">
        <f>B89+1</f>
        <v>37</v>
      </c>
      <c r="C91" s="123">
        <v>31452182</v>
      </c>
      <c r="D91" s="106" t="s">
        <v>91</v>
      </c>
      <c r="E91" s="112" t="s">
        <v>49</v>
      </c>
      <c r="F91" s="108">
        <f>SUM(F92:F92)</f>
        <v>20</v>
      </c>
      <c r="G91" s="109">
        <v>5.3</v>
      </c>
      <c r="H91" s="110">
        <f>F91*G91</f>
        <v>106</v>
      </c>
      <c r="I91" s="88"/>
      <c r="J91" s="67"/>
      <c r="K91" s="67"/>
      <c r="L91" s="67"/>
      <c r="M91" s="67"/>
      <c r="N91" s="67"/>
      <c r="O91" s="67"/>
      <c r="P91" s="81"/>
    </row>
    <row r="92" spans="1:16" ht="13.2" customHeight="1">
      <c r="A92" s="97"/>
      <c r="B92" s="127"/>
      <c r="C92" s="128"/>
      <c r="D92" s="129" t="s">
        <v>92</v>
      </c>
      <c r="E92" s="130"/>
      <c r="F92" s="146">
        <f>((CEILING((F87/15),1)+1)*2)</f>
        <v>20</v>
      </c>
      <c r="G92" s="109"/>
      <c r="H92" s="110"/>
      <c r="I92" s="88"/>
      <c r="J92" s="67"/>
      <c r="K92" s="67"/>
      <c r="L92" s="67"/>
      <c r="M92" s="67"/>
      <c r="N92" s="67"/>
      <c r="O92" s="67"/>
      <c r="P92" s="81"/>
    </row>
    <row r="93" spans="1:16" ht="13.2" customHeight="1">
      <c r="A93" s="97"/>
      <c r="B93" s="122">
        <f>B91+1</f>
        <v>38</v>
      </c>
      <c r="C93" s="145" t="s">
        <v>93</v>
      </c>
      <c r="D93" s="106" t="s">
        <v>94</v>
      </c>
      <c r="E93" s="112" t="s">
        <v>95</v>
      </c>
      <c r="F93" s="108">
        <f>SUM(F94:F94)</f>
        <v>2</v>
      </c>
      <c r="G93" s="109">
        <v>2035</v>
      </c>
      <c r="H93" s="110">
        <f>F93*G93</f>
        <v>4070</v>
      </c>
      <c r="I93" s="88"/>
      <c r="J93" s="67"/>
      <c r="K93" s="67"/>
      <c r="L93" s="67"/>
      <c r="M93" s="67"/>
      <c r="N93" s="67"/>
      <c r="O93" s="67"/>
      <c r="P93" s="81"/>
    </row>
    <row r="94" spans="1:16" ht="27.6" customHeight="1">
      <c r="A94" s="97"/>
      <c r="B94" s="127"/>
      <c r="C94" s="128"/>
      <c r="D94" s="129" t="s">
        <v>96</v>
      </c>
      <c r="E94" s="130"/>
      <c r="F94" s="146">
        <f>CEILING((F83*8)/1600,1)</f>
        <v>2</v>
      </c>
      <c r="G94" s="109"/>
      <c r="H94" s="110"/>
      <c r="I94" s="88"/>
      <c r="J94" s="67"/>
      <c r="K94" s="67"/>
      <c r="L94" s="67"/>
      <c r="M94" s="67"/>
      <c r="N94" s="67"/>
      <c r="O94" s="67"/>
      <c r="P94" s="81"/>
    </row>
    <row r="95" spans="1:16" ht="26.4" customHeight="1">
      <c r="A95" s="97"/>
      <c r="B95" s="122">
        <f>B93+1</f>
        <v>39</v>
      </c>
      <c r="C95" s="145" t="s">
        <v>68</v>
      </c>
      <c r="D95" s="106" t="s">
        <v>69</v>
      </c>
      <c r="E95" s="112" t="s">
        <v>70</v>
      </c>
      <c r="F95" s="108">
        <f>SUM(F96:F96)</f>
        <v>0.997617019713448</v>
      </c>
      <c r="G95" s="109">
        <v>3960</v>
      </c>
      <c r="H95" s="110">
        <f>F95*G95</f>
        <v>3950.56339806525</v>
      </c>
      <c r="I95" s="88"/>
      <c r="J95" s="67"/>
      <c r="K95" s="67"/>
      <c r="L95" s="67"/>
      <c r="M95" s="67"/>
      <c r="N95" s="67"/>
      <c r="O95" s="67"/>
      <c r="P95" s="81"/>
    </row>
    <row r="96" spans="1:16" ht="13.2" customHeight="1">
      <c r="A96" s="97"/>
      <c r="B96" s="127"/>
      <c r="C96" s="128"/>
      <c r="D96" s="129" t="s">
        <v>97</v>
      </c>
      <c r="E96" s="130"/>
      <c r="F96" s="146">
        <f>(PI())*(0.028^2)*(F80*2)*1.22*2</f>
        <v>0.997617019713448</v>
      </c>
      <c r="G96" s="109"/>
      <c r="H96" s="110"/>
      <c r="I96" s="88"/>
      <c r="J96" s="67"/>
      <c r="K96" s="67"/>
      <c r="L96" s="67"/>
      <c r="M96" s="67"/>
      <c r="N96" s="67"/>
      <c r="O96" s="67"/>
      <c r="P96" s="81"/>
    </row>
    <row r="97" spans="1:16" ht="13.2" customHeight="1">
      <c r="A97" s="97"/>
      <c r="B97" s="122">
        <f>B95+1</f>
        <v>40</v>
      </c>
      <c r="C97" s="123">
        <v>281604111</v>
      </c>
      <c r="D97" s="106" t="s">
        <v>72</v>
      </c>
      <c r="E97" s="112" t="s">
        <v>73</v>
      </c>
      <c r="F97" s="108">
        <f>SUM(F98:F98)</f>
        <v>17</v>
      </c>
      <c r="G97" s="109">
        <v>2260</v>
      </c>
      <c r="H97" s="110">
        <f>F97*G97</f>
        <v>38420</v>
      </c>
      <c r="I97" s="88"/>
      <c r="J97" s="67"/>
      <c r="K97" s="67"/>
      <c r="L97" s="67"/>
      <c r="M97" s="67"/>
      <c r="N97" s="67"/>
      <c r="O97" s="67"/>
      <c r="P97" s="81"/>
    </row>
    <row r="98" spans="1:16" ht="26.4" customHeight="1">
      <c r="A98" s="97"/>
      <c r="B98" s="127"/>
      <c r="C98" s="128"/>
      <c r="D98" s="129" t="s">
        <v>98</v>
      </c>
      <c r="E98" s="130"/>
      <c r="F98" s="146">
        <f>CEILING((F79*2)*0.1,1)</f>
        <v>17</v>
      </c>
      <c r="G98" s="109"/>
      <c r="H98" s="110"/>
      <c r="I98" s="88"/>
      <c r="J98" s="67"/>
      <c r="K98" s="67"/>
      <c r="L98" s="67"/>
      <c r="M98" s="67"/>
      <c r="N98" s="67"/>
      <c r="O98" s="67"/>
      <c r="P98" s="81"/>
    </row>
    <row r="99" spans="1:16" ht="13.2" customHeight="1">
      <c r="A99" s="97"/>
      <c r="B99" s="122">
        <f>B97+1</f>
        <v>41</v>
      </c>
      <c r="C99" s="145" t="s">
        <v>75</v>
      </c>
      <c r="D99" s="106" t="s">
        <v>76</v>
      </c>
      <c r="E99" s="112" t="s">
        <v>35</v>
      </c>
      <c r="F99" s="108">
        <f>SUM(F100:F100)</f>
        <v>9.96</v>
      </c>
      <c r="G99" s="109">
        <v>850</v>
      </c>
      <c r="H99" s="110">
        <f>F99*G99</f>
        <v>8466</v>
      </c>
      <c r="I99" s="88"/>
      <c r="J99" s="67"/>
      <c r="K99" s="67"/>
      <c r="L99" s="67"/>
      <c r="M99" s="67"/>
      <c r="N99" s="67"/>
      <c r="O99" s="67"/>
      <c r="P99" s="81"/>
    </row>
    <row r="100" spans="1:16" ht="13.95" customHeight="1">
      <c r="A100" s="97"/>
      <c r="B100" s="147"/>
      <c r="C100" s="148"/>
      <c r="D100" s="149" t="s">
        <v>99</v>
      </c>
      <c r="E100" s="150"/>
      <c r="F100" s="151">
        <f>F80*0.06*2</f>
        <v>9.96</v>
      </c>
      <c r="G100" s="117"/>
      <c r="H100" s="118"/>
      <c r="I100" s="88"/>
      <c r="J100" s="67"/>
      <c r="K100" s="67"/>
      <c r="L100" s="67"/>
      <c r="M100" s="67"/>
      <c r="N100" s="67"/>
      <c r="O100" s="67"/>
      <c r="P100" s="81"/>
    </row>
    <row r="101" spans="1:16" ht="13.8" customHeight="1">
      <c r="A101" s="97"/>
      <c r="B101" s="152" t="s">
        <v>101</v>
      </c>
      <c r="C101" s="153"/>
      <c r="D101" s="153"/>
      <c r="E101" s="153"/>
      <c r="F101" s="153"/>
      <c r="G101" s="153"/>
      <c r="H101" s="154">
        <f>SUM(H102:H127)</f>
        <v>365016.853956723</v>
      </c>
      <c r="I101" s="88"/>
      <c r="J101" s="67"/>
      <c r="K101" s="67"/>
      <c r="L101" s="67"/>
      <c r="M101" s="67"/>
      <c r="N101" s="67"/>
      <c r="O101" s="67"/>
      <c r="P101" s="81"/>
    </row>
    <row r="102" spans="1:16" ht="26.4" customHeight="1">
      <c r="A102" s="97"/>
      <c r="B102" s="119">
        <f>B74+1</f>
        <v>30</v>
      </c>
      <c r="C102" s="120">
        <v>155212116</v>
      </c>
      <c r="D102" s="100" t="s">
        <v>63</v>
      </c>
      <c r="E102" s="99" t="s">
        <v>64</v>
      </c>
      <c r="F102" s="101">
        <f>SUM(F103:F103)</f>
        <v>36</v>
      </c>
      <c r="G102" s="102">
        <v>952</v>
      </c>
      <c r="H102" s="103">
        <f>F102*G102</f>
        <v>34272</v>
      </c>
      <c r="I102" s="88"/>
      <c r="J102" s="67"/>
      <c r="K102" s="67"/>
      <c r="L102" s="67"/>
      <c r="M102" s="67"/>
      <c r="N102" s="67"/>
      <c r="O102" s="67"/>
      <c r="P102" s="81"/>
    </row>
    <row r="103" spans="1:16" ht="13.2" customHeight="1">
      <c r="A103" s="97"/>
      <c r="B103" s="127"/>
      <c r="C103" s="128"/>
      <c r="D103" s="129" t="s">
        <v>102</v>
      </c>
      <c r="E103" s="130"/>
      <c r="F103" s="131">
        <f>CEILING((F109)*1.2,1)</f>
        <v>36</v>
      </c>
      <c r="G103" s="125"/>
      <c r="H103" s="126"/>
      <c r="I103" s="88"/>
      <c r="J103" s="67"/>
      <c r="K103" s="67"/>
      <c r="L103" s="67"/>
      <c r="M103" s="67"/>
      <c r="N103" s="67"/>
      <c r="O103" s="67"/>
      <c r="P103" s="81"/>
    </row>
    <row r="104" spans="1:16" ht="26.4" customHeight="1">
      <c r="A104" s="97"/>
      <c r="B104" s="122">
        <f>B102+1</f>
        <v>31</v>
      </c>
      <c r="C104" s="123">
        <v>155213611</v>
      </c>
      <c r="D104" s="106" t="s">
        <v>103</v>
      </c>
      <c r="E104" s="112" t="s">
        <v>49</v>
      </c>
      <c r="F104" s="108">
        <f>SUM(F105:F105)</f>
        <v>32</v>
      </c>
      <c r="G104" s="109">
        <v>2220</v>
      </c>
      <c r="H104" s="110">
        <f>F104*G104</f>
        <v>71040</v>
      </c>
      <c r="I104" s="88"/>
      <c r="J104" s="67"/>
      <c r="K104" s="67"/>
      <c r="L104" s="67"/>
      <c r="M104" s="67"/>
      <c r="N104" s="67"/>
      <c r="O104" s="67"/>
      <c r="P104" s="81"/>
    </row>
    <row r="105" spans="1:16" ht="13.2" customHeight="1">
      <c r="A105" s="97"/>
      <c r="B105" s="127"/>
      <c r="C105" s="128"/>
      <c r="D105" s="129" t="s">
        <v>104</v>
      </c>
      <c r="E105" s="130"/>
      <c r="F105" s="124">
        <f>F107+2</f>
        <v>32</v>
      </c>
      <c r="G105" s="125"/>
      <c r="H105" s="126"/>
      <c r="I105" s="88"/>
      <c r="J105" s="67"/>
      <c r="K105" s="67"/>
      <c r="L105" s="67"/>
      <c r="M105" s="67"/>
      <c r="N105" s="67"/>
      <c r="O105" s="67"/>
      <c r="P105" s="81"/>
    </row>
    <row r="106" spans="1:16" ht="26.4" customHeight="1">
      <c r="A106" s="97"/>
      <c r="B106" s="122">
        <f>B104+1</f>
        <v>32</v>
      </c>
      <c r="C106" s="123">
        <v>155214311</v>
      </c>
      <c r="D106" s="106" t="s">
        <v>105</v>
      </c>
      <c r="E106" s="112" t="s">
        <v>49</v>
      </c>
      <c r="F106" s="108">
        <f>SUM(F107:F107)</f>
        <v>30</v>
      </c>
      <c r="G106" s="109">
        <v>1990</v>
      </c>
      <c r="H106" s="110">
        <f>F106*G106</f>
        <v>59700</v>
      </c>
      <c r="I106" s="88"/>
      <c r="J106" s="67"/>
      <c r="K106" s="67"/>
      <c r="L106" s="67"/>
      <c r="M106" s="67"/>
      <c r="N106" s="67"/>
      <c r="O106" s="67"/>
      <c r="P106" s="81"/>
    </row>
    <row r="107" spans="1:16" ht="13.2" customHeight="1">
      <c r="A107" s="97"/>
      <c r="B107" s="127"/>
      <c r="C107" s="128"/>
      <c r="D107" s="129" t="s">
        <v>106</v>
      </c>
      <c r="E107" s="130"/>
      <c r="F107" s="131">
        <f>FLOOR((87/3)+1,1)</f>
        <v>30</v>
      </c>
      <c r="G107" s="125"/>
      <c r="H107" s="126"/>
      <c r="I107" s="88"/>
      <c r="J107" s="67"/>
      <c r="K107" s="67"/>
      <c r="L107" s="67"/>
      <c r="M107" s="67"/>
      <c r="N107" s="67"/>
      <c r="O107" s="67"/>
      <c r="P107" s="81"/>
    </row>
    <row r="108" spans="1:16" ht="13.2" customHeight="1">
      <c r="A108" s="97"/>
      <c r="B108" s="122">
        <f>B106+1</f>
        <v>33</v>
      </c>
      <c r="C108" s="123">
        <v>155214511</v>
      </c>
      <c r="D108" s="106" t="s">
        <v>107</v>
      </c>
      <c r="E108" s="112" t="s">
        <v>49</v>
      </c>
      <c r="F108" s="108">
        <f>SUM(F109:F109)</f>
        <v>30</v>
      </c>
      <c r="G108" s="109">
        <v>336</v>
      </c>
      <c r="H108" s="110">
        <f>F108*G108</f>
        <v>10080</v>
      </c>
      <c r="I108" s="88"/>
      <c r="J108" s="67"/>
      <c r="K108" s="67"/>
      <c r="L108" s="67"/>
      <c r="M108" s="67"/>
      <c r="N108" s="67"/>
      <c r="O108" s="67"/>
      <c r="P108" s="81"/>
    </row>
    <row r="109" spans="1:16" ht="13.2" customHeight="1">
      <c r="A109" s="97"/>
      <c r="B109" s="127"/>
      <c r="C109" s="128"/>
      <c r="D109" s="129" t="s">
        <v>108</v>
      </c>
      <c r="E109" s="130"/>
      <c r="F109" s="131">
        <f>F106</f>
        <v>30</v>
      </c>
      <c r="G109" s="125"/>
      <c r="H109" s="126"/>
      <c r="I109" s="88"/>
      <c r="J109" s="67"/>
      <c r="K109" s="67"/>
      <c r="L109" s="67"/>
      <c r="M109" s="67"/>
      <c r="N109" s="67"/>
      <c r="O109" s="67"/>
      <c r="P109" s="81"/>
    </row>
    <row r="110" spans="1:16" ht="26.4" customHeight="1">
      <c r="A110" s="97"/>
      <c r="B110" s="122">
        <f>B108+1</f>
        <v>34</v>
      </c>
      <c r="C110" s="123">
        <v>155214521</v>
      </c>
      <c r="D110" s="106" t="s">
        <v>109</v>
      </c>
      <c r="E110" s="112" t="s">
        <v>35</v>
      </c>
      <c r="F110" s="108">
        <f>SUM(F111:F111)</f>
        <v>174</v>
      </c>
      <c r="G110" s="109">
        <v>515</v>
      </c>
      <c r="H110" s="110">
        <f>F110*G110</f>
        <v>89610</v>
      </c>
      <c r="I110" s="88"/>
      <c r="J110" s="67"/>
      <c r="K110" s="67"/>
      <c r="L110" s="67"/>
      <c r="M110" s="67"/>
      <c r="N110" s="67"/>
      <c r="O110" s="67"/>
      <c r="P110" s="81"/>
    </row>
    <row r="111" spans="1:16" ht="13.2" customHeight="1">
      <c r="A111" s="97"/>
      <c r="B111" s="127"/>
      <c r="C111" s="128"/>
      <c r="D111" s="129" t="s">
        <v>110</v>
      </c>
      <c r="E111" s="130"/>
      <c r="F111" s="131">
        <f>(F106-1)*3*2</f>
        <v>174</v>
      </c>
      <c r="G111" s="125"/>
      <c r="H111" s="126"/>
      <c r="I111" s="88"/>
      <c r="J111" s="67"/>
      <c r="K111" s="67"/>
      <c r="L111" s="67"/>
      <c r="M111" s="67"/>
      <c r="N111" s="67"/>
      <c r="O111" s="67"/>
      <c r="P111" s="81"/>
    </row>
    <row r="112" spans="1:16" ht="13.2" customHeight="1">
      <c r="A112" s="97"/>
      <c r="B112" s="122">
        <f>B110+1</f>
        <v>35</v>
      </c>
      <c r="C112" s="123">
        <v>31319153</v>
      </c>
      <c r="D112" s="106" t="s">
        <v>85</v>
      </c>
      <c r="E112" s="112" t="s">
        <v>35</v>
      </c>
      <c r="F112" s="108">
        <f>SUM(F113:F113)</f>
        <v>208.8</v>
      </c>
      <c r="G112" s="109">
        <v>110</v>
      </c>
      <c r="H112" s="110">
        <f>F112*G112</f>
        <v>22968</v>
      </c>
      <c r="I112" s="88"/>
      <c r="J112" s="67"/>
      <c r="K112" s="67"/>
      <c r="L112" s="67"/>
      <c r="M112" s="67"/>
      <c r="N112" s="67"/>
      <c r="O112" s="67"/>
      <c r="P112" s="81"/>
    </row>
    <row r="113" spans="1:16" ht="13.2" customHeight="1">
      <c r="A113" s="97"/>
      <c r="B113" s="127"/>
      <c r="C113" s="128"/>
      <c r="D113" s="129" t="s">
        <v>111</v>
      </c>
      <c r="E113" s="130"/>
      <c r="F113" s="131">
        <f>F110*1.2</f>
        <v>208.8</v>
      </c>
      <c r="G113" s="125"/>
      <c r="H113" s="126"/>
      <c r="I113" s="88"/>
      <c r="J113" s="67"/>
      <c r="K113" s="67"/>
      <c r="L113" s="67"/>
      <c r="M113" s="67"/>
      <c r="N113" s="67"/>
      <c r="O113" s="67"/>
      <c r="P113" s="81"/>
    </row>
    <row r="114" spans="1:16" ht="26.4" customHeight="1">
      <c r="A114" s="97"/>
      <c r="B114" s="122">
        <f>B112+1</f>
        <v>36</v>
      </c>
      <c r="C114" s="123">
        <v>155214525</v>
      </c>
      <c r="D114" s="106" t="s">
        <v>112</v>
      </c>
      <c r="E114" s="112" t="s">
        <v>64</v>
      </c>
      <c r="F114" s="108">
        <f>SUM(F115:F115)</f>
        <v>531</v>
      </c>
      <c r="G114" s="109">
        <v>35.4</v>
      </c>
      <c r="H114" s="110">
        <f>F114*G114</f>
        <v>18797.4</v>
      </c>
      <c r="I114" s="88"/>
      <c r="J114" s="67"/>
      <c r="K114" s="67"/>
      <c r="L114" s="67"/>
      <c r="M114" s="67"/>
      <c r="N114" s="67"/>
      <c r="O114" s="67"/>
      <c r="P114" s="81"/>
    </row>
    <row r="115" spans="1:16" ht="13.2" customHeight="1">
      <c r="A115" s="97"/>
      <c r="B115" s="127"/>
      <c r="C115" s="128"/>
      <c r="D115" s="129" t="s">
        <v>113</v>
      </c>
      <c r="E115" s="130"/>
      <c r="F115" s="131">
        <f>((((F106-1)*3)*5)+(F104*3))</f>
        <v>531</v>
      </c>
      <c r="G115" s="125"/>
      <c r="H115" s="126"/>
      <c r="I115" s="88"/>
      <c r="J115" s="67"/>
      <c r="K115" s="67"/>
      <c r="L115" s="67"/>
      <c r="M115" s="67"/>
      <c r="N115" s="67"/>
      <c r="O115" s="67"/>
      <c r="P115" s="81"/>
    </row>
    <row r="116" spans="1:16" ht="13.2" customHeight="1">
      <c r="A116" s="97"/>
      <c r="B116" s="122">
        <f>B114+1</f>
        <v>37</v>
      </c>
      <c r="C116" s="123">
        <v>31452107</v>
      </c>
      <c r="D116" s="106" t="s">
        <v>114</v>
      </c>
      <c r="E116" s="112" t="s">
        <v>64</v>
      </c>
      <c r="F116" s="108">
        <f>SUM(F117:F117)</f>
        <v>637.2</v>
      </c>
      <c r="G116" s="109">
        <v>30.2</v>
      </c>
      <c r="H116" s="110">
        <f>F116*G116</f>
        <v>19243.44</v>
      </c>
      <c r="I116" s="88"/>
      <c r="J116" s="67"/>
      <c r="K116" s="67"/>
      <c r="L116" s="67"/>
      <c r="M116" s="67"/>
      <c r="N116" s="67"/>
      <c r="O116" s="67"/>
      <c r="P116" s="81"/>
    </row>
    <row r="117" spans="1:16" ht="13.2" customHeight="1">
      <c r="A117" s="97"/>
      <c r="B117" s="127"/>
      <c r="C117" s="128"/>
      <c r="D117" s="129" t="s">
        <v>115</v>
      </c>
      <c r="E117" s="130"/>
      <c r="F117" s="131">
        <f>F114*1.2</f>
        <v>637.2</v>
      </c>
      <c r="G117" s="125"/>
      <c r="H117" s="126"/>
      <c r="I117" s="88"/>
      <c r="J117" s="67"/>
      <c r="K117" s="67"/>
      <c r="L117" s="67"/>
      <c r="M117" s="67"/>
      <c r="N117" s="67"/>
      <c r="O117" s="67"/>
      <c r="P117" s="81"/>
    </row>
    <row r="118" spans="1:16" ht="13.2" customHeight="1">
      <c r="A118" s="97"/>
      <c r="B118" s="122">
        <f>B116+1</f>
        <v>38</v>
      </c>
      <c r="C118" s="123">
        <v>31452182</v>
      </c>
      <c r="D118" s="106" t="s">
        <v>91</v>
      </c>
      <c r="E118" s="112" t="s">
        <v>49</v>
      </c>
      <c r="F118" s="108">
        <f>SUM(F119:F119)</f>
        <v>198</v>
      </c>
      <c r="G118" s="109">
        <v>5.3</v>
      </c>
      <c r="H118" s="110">
        <f>F118*G118</f>
        <v>1049.4</v>
      </c>
      <c r="I118" s="88"/>
      <c r="J118" s="67"/>
      <c r="K118" s="67"/>
      <c r="L118" s="67"/>
      <c r="M118" s="67"/>
      <c r="N118" s="67"/>
      <c r="O118" s="67"/>
      <c r="P118" s="81"/>
    </row>
    <row r="119" spans="1:16" ht="13.2" customHeight="1">
      <c r="A119" s="97"/>
      <c r="B119" s="127"/>
      <c r="C119" s="128"/>
      <c r="D119" s="129" t="s">
        <v>116</v>
      </c>
      <c r="E119" s="130"/>
      <c r="F119" s="131">
        <f>(F104*4)+((ROUND((((F106-1)*3)/15),0)+1)*2*5)</f>
        <v>198</v>
      </c>
      <c r="G119" s="125"/>
      <c r="H119" s="126"/>
      <c r="I119" s="88"/>
      <c r="J119" s="67"/>
      <c r="K119" s="67"/>
      <c r="L119" s="67"/>
      <c r="M119" s="67"/>
      <c r="N119" s="67"/>
      <c r="O119" s="67"/>
      <c r="P119" s="81"/>
    </row>
    <row r="120" spans="1:16" ht="13.2" customHeight="1">
      <c r="A120" s="97"/>
      <c r="B120" s="122">
        <f>B118+1</f>
        <v>39</v>
      </c>
      <c r="C120" s="145" t="s">
        <v>93</v>
      </c>
      <c r="D120" s="106" t="s">
        <v>94</v>
      </c>
      <c r="E120" s="112" t="s">
        <v>117</v>
      </c>
      <c r="F120" s="108">
        <f>SUM(F121:F121)</f>
        <v>1</v>
      </c>
      <c r="G120" s="109">
        <v>2035</v>
      </c>
      <c r="H120" s="110">
        <f>F120*G120</f>
        <v>2035</v>
      </c>
      <c r="I120" s="88"/>
      <c r="J120" s="67"/>
      <c r="K120" s="67"/>
      <c r="L120" s="67"/>
      <c r="M120" s="67"/>
      <c r="N120" s="67"/>
      <c r="O120" s="67"/>
      <c r="P120" s="81"/>
    </row>
    <row r="121" spans="1:16" ht="13.2" customHeight="1">
      <c r="A121" s="97"/>
      <c r="B121" s="127"/>
      <c r="C121" s="128"/>
      <c r="D121" s="129" t="s">
        <v>118</v>
      </c>
      <c r="E121" s="130"/>
      <c r="F121" s="131">
        <f>CEILING((F111*8)/1600,1)</f>
        <v>1</v>
      </c>
      <c r="G121" s="125"/>
      <c r="H121" s="126"/>
      <c r="I121" s="88"/>
      <c r="J121" s="67"/>
      <c r="K121" s="67"/>
      <c r="L121" s="67"/>
      <c r="M121" s="67"/>
      <c r="N121" s="67"/>
      <c r="O121" s="67"/>
      <c r="P121" s="81"/>
    </row>
    <row r="122" spans="1:16" ht="26.4" customHeight="1">
      <c r="A122" s="97"/>
      <c r="B122" s="122">
        <f>B120+1</f>
        <v>40</v>
      </c>
      <c r="C122" s="145" t="s">
        <v>68</v>
      </c>
      <c r="D122" s="106" t="s">
        <v>69</v>
      </c>
      <c r="E122" s="112" t="s">
        <v>70</v>
      </c>
      <c r="F122" s="108">
        <f>SUM(F123:F123)</f>
        <v>0.447124736546268</v>
      </c>
      <c r="G122" s="109">
        <v>3960</v>
      </c>
      <c r="H122" s="110">
        <f>F122*G122</f>
        <v>1770.61395672322</v>
      </c>
      <c r="I122" s="88"/>
      <c r="J122" s="67"/>
      <c r="K122" s="67"/>
      <c r="L122" s="67"/>
      <c r="M122" s="67"/>
      <c r="N122" s="67"/>
      <c r="O122" s="67"/>
      <c r="P122" s="81"/>
    </row>
    <row r="123" spans="1:16" ht="13.2" customHeight="1">
      <c r="A123" s="97"/>
      <c r="B123" s="127"/>
      <c r="C123" s="128"/>
      <c r="D123" s="129" t="s">
        <v>119</v>
      </c>
      <c r="E123" s="130"/>
      <c r="F123" s="131">
        <f>(PI())*(0.028^2)*(F106+F104)*1.2*1.22*2</f>
        <v>0.447124736546268</v>
      </c>
      <c r="G123" s="125"/>
      <c r="H123" s="126"/>
      <c r="I123" s="88"/>
      <c r="J123" s="67"/>
      <c r="K123" s="67"/>
      <c r="L123" s="67"/>
      <c r="M123" s="67"/>
      <c r="N123" s="67"/>
      <c r="O123" s="67"/>
      <c r="P123" s="81"/>
    </row>
    <row r="124" spans="1:16" ht="13.2" customHeight="1">
      <c r="A124" s="97"/>
      <c r="B124" s="122">
        <f>B122+1</f>
        <v>41</v>
      </c>
      <c r="C124" s="123">
        <v>281604111</v>
      </c>
      <c r="D124" s="106" t="s">
        <v>72</v>
      </c>
      <c r="E124" s="112" t="s">
        <v>73</v>
      </c>
      <c r="F124" s="108">
        <f>SUM(F125:F125)</f>
        <v>8</v>
      </c>
      <c r="G124" s="109">
        <v>2260</v>
      </c>
      <c r="H124" s="110">
        <f>F124*G124</f>
        <v>18080</v>
      </c>
      <c r="I124" s="88"/>
      <c r="J124" s="67"/>
      <c r="K124" s="67"/>
      <c r="L124" s="67"/>
      <c r="M124" s="67"/>
      <c r="N124" s="67"/>
      <c r="O124" s="67"/>
      <c r="P124" s="81"/>
    </row>
    <row r="125" spans="1:16" ht="24" customHeight="1">
      <c r="A125" s="97"/>
      <c r="B125" s="127"/>
      <c r="C125" s="128"/>
      <c r="D125" s="129" t="s">
        <v>120</v>
      </c>
      <c r="E125" s="130"/>
      <c r="F125" s="131">
        <f>CEILING(((F104+F106)*1.2)*0.1,1)</f>
        <v>8</v>
      </c>
      <c r="G125" s="125"/>
      <c r="H125" s="126"/>
      <c r="I125" s="88"/>
      <c r="J125" s="67"/>
      <c r="K125" s="67"/>
      <c r="L125" s="67"/>
      <c r="M125" s="67"/>
      <c r="N125" s="67"/>
      <c r="O125" s="67"/>
      <c r="P125" s="81"/>
    </row>
    <row r="126" spans="1:16" ht="13.2" customHeight="1">
      <c r="A126" s="97"/>
      <c r="B126" s="122">
        <f>B124+1</f>
        <v>42</v>
      </c>
      <c r="C126" s="145" t="s">
        <v>75</v>
      </c>
      <c r="D126" s="106" t="s">
        <v>76</v>
      </c>
      <c r="E126" s="112" t="s">
        <v>35</v>
      </c>
      <c r="F126" s="108">
        <f>SUM(F127:F127)</f>
        <v>19.26</v>
      </c>
      <c r="G126" s="109">
        <v>850</v>
      </c>
      <c r="H126" s="110">
        <f>F126*G126</f>
        <v>16371</v>
      </c>
      <c r="I126" s="88"/>
      <c r="J126" s="67"/>
      <c r="K126" s="67"/>
      <c r="L126" s="67"/>
      <c r="M126" s="67"/>
      <c r="N126" s="67"/>
      <c r="O126" s="67"/>
      <c r="P126" s="81"/>
    </row>
    <row r="127" spans="1:16" ht="13.8" customHeight="1">
      <c r="A127" s="97"/>
      <c r="B127" s="147"/>
      <c r="C127" s="148"/>
      <c r="D127" s="149" t="s">
        <v>121</v>
      </c>
      <c r="E127" s="150"/>
      <c r="F127" s="155">
        <f>((F104*0.015)+(F106*0.305))*2</f>
        <v>19.26</v>
      </c>
      <c r="G127" s="138"/>
      <c r="H127" s="139"/>
      <c r="I127" s="88"/>
      <c r="J127" s="67"/>
      <c r="K127" s="67"/>
      <c r="L127" s="67"/>
      <c r="M127" s="67"/>
      <c r="N127" s="67"/>
      <c r="O127" s="67"/>
      <c r="P127" s="81"/>
    </row>
    <row r="128" spans="1:16" ht="13.8" customHeight="1">
      <c r="A128" s="97"/>
      <c r="B128" s="156" t="s">
        <v>122</v>
      </c>
      <c r="C128" s="157"/>
      <c r="D128" s="157"/>
      <c r="E128" s="157"/>
      <c r="F128" s="157"/>
      <c r="G128" s="157"/>
      <c r="H128" s="158">
        <f>SUM(H129:H154)</f>
        <v>200459.132109488</v>
      </c>
      <c r="I128" s="88"/>
      <c r="J128" s="67"/>
      <c r="K128" s="67"/>
      <c r="L128" s="67"/>
      <c r="M128" s="67"/>
      <c r="N128" s="67"/>
      <c r="O128" s="67"/>
      <c r="P128" s="81"/>
    </row>
    <row r="129" spans="1:16" ht="26.4" customHeight="1">
      <c r="A129" s="97"/>
      <c r="B129" s="119">
        <f>B126+1</f>
        <v>43</v>
      </c>
      <c r="C129" s="120">
        <v>155212116</v>
      </c>
      <c r="D129" s="100" t="s">
        <v>63</v>
      </c>
      <c r="E129" s="99" t="s">
        <v>64</v>
      </c>
      <c r="F129" s="140">
        <f>SUM(F130:F130)</f>
        <v>16</v>
      </c>
      <c r="G129" s="141">
        <v>952</v>
      </c>
      <c r="H129" s="142">
        <f>F129*G129</f>
        <v>15232</v>
      </c>
      <c r="I129" s="88"/>
      <c r="J129" s="67"/>
      <c r="K129" s="67"/>
      <c r="L129" s="67"/>
      <c r="M129" s="67"/>
      <c r="N129" s="67"/>
      <c r="O129" s="67"/>
      <c r="P129" s="81"/>
    </row>
    <row r="130" spans="1:16" ht="13.2" customHeight="1">
      <c r="A130" s="97"/>
      <c r="B130" s="104"/>
      <c r="C130" s="105"/>
      <c r="D130" s="106" t="s">
        <v>123</v>
      </c>
      <c r="E130" s="107"/>
      <c r="F130" s="124">
        <f>CEILING((F134)*1.2,1)</f>
        <v>16</v>
      </c>
      <c r="G130" s="125"/>
      <c r="H130" s="126"/>
      <c r="I130" s="88"/>
      <c r="J130" s="67"/>
      <c r="K130" s="67"/>
      <c r="L130" s="67"/>
      <c r="M130" s="67"/>
      <c r="N130" s="67"/>
      <c r="O130" s="67"/>
      <c r="P130" s="81"/>
    </row>
    <row r="131" spans="1:16" ht="26.4" customHeight="1">
      <c r="A131" s="97"/>
      <c r="B131" s="122">
        <f>B129+1</f>
        <v>44</v>
      </c>
      <c r="C131" s="123">
        <v>155213611</v>
      </c>
      <c r="D131" s="106" t="s">
        <v>103</v>
      </c>
      <c r="E131" s="112" t="s">
        <v>49</v>
      </c>
      <c r="F131" s="108">
        <f>SUM(F132:F132)</f>
        <v>15</v>
      </c>
      <c r="G131" s="109">
        <v>2220</v>
      </c>
      <c r="H131" s="110">
        <f>F131*G131</f>
        <v>33300</v>
      </c>
      <c r="I131" s="88"/>
      <c r="J131" s="67"/>
      <c r="K131" s="67"/>
      <c r="L131" s="67"/>
      <c r="M131" s="67"/>
      <c r="N131" s="67"/>
      <c r="O131" s="67"/>
      <c r="P131" s="81"/>
    </row>
    <row r="132" spans="1:16" ht="13.2" customHeight="1">
      <c r="A132" s="97"/>
      <c r="B132" s="104"/>
      <c r="C132" s="105"/>
      <c r="D132" s="106" t="s">
        <v>124</v>
      </c>
      <c r="E132" s="107"/>
      <c r="F132" s="124">
        <f>(F136)+2</f>
        <v>15</v>
      </c>
      <c r="G132" s="125"/>
      <c r="H132" s="126"/>
      <c r="I132" s="88"/>
      <c r="J132" s="67"/>
      <c r="K132" s="67"/>
      <c r="L132" s="67"/>
      <c r="M132" s="67"/>
      <c r="N132" s="67"/>
      <c r="O132" s="67"/>
      <c r="P132" s="81"/>
    </row>
    <row r="133" spans="1:16" ht="26.4" customHeight="1">
      <c r="A133" s="97"/>
      <c r="B133" s="122">
        <f>B131+1</f>
        <v>45</v>
      </c>
      <c r="C133" s="123">
        <v>155214411</v>
      </c>
      <c r="D133" s="159" t="s">
        <v>125</v>
      </c>
      <c r="E133" s="112" t="s">
        <v>49</v>
      </c>
      <c r="F133" s="108">
        <f>SUM(F134:F134)</f>
        <v>13</v>
      </c>
      <c r="G133" s="109">
        <v>4320</v>
      </c>
      <c r="H133" s="110">
        <f>F133*G133</f>
        <v>56160</v>
      </c>
      <c r="I133" s="88"/>
      <c r="J133" s="67"/>
      <c r="K133" s="67"/>
      <c r="L133" s="67"/>
      <c r="M133" s="67"/>
      <c r="N133" s="67"/>
      <c r="O133" s="67"/>
      <c r="P133" s="81"/>
    </row>
    <row r="134" spans="1:16" ht="13.2" customHeight="1">
      <c r="A134" s="97"/>
      <c r="B134" s="104"/>
      <c r="C134" s="105"/>
      <c r="D134" s="106" t="s">
        <v>126</v>
      </c>
      <c r="E134" s="107"/>
      <c r="F134" s="124">
        <f>(36/3)+1</f>
        <v>13</v>
      </c>
      <c r="G134" s="125"/>
      <c r="H134" s="126"/>
      <c r="I134" s="88"/>
      <c r="J134" s="67"/>
      <c r="K134" s="67"/>
      <c r="L134" s="67"/>
      <c r="M134" s="67"/>
      <c r="N134" s="67"/>
      <c r="O134" s="67"/>
      <c r="P134" s="81"/>
    </row>
    <row r="135" spans="1:16" ht="13.2" customHeight="1">
      <c r="A135" s="97"/>
      <c r="B135" s="122">
        <f>B133+1</f>
        <v>46</v>
      </c>
      <c r="C135" s="123">
        <v>155214511</v>
      </c>
      <c r="D135" s="106" t="s">
        <v>107</v>
      </c>
      <c r="E135" s="112" t="s">
        <v>49</v>
      </c>
      <c r="F135" s="108">
        <f>SUM(F136:F136)</f>
        <v>13</v>
      </c>
      <c r="G135" s="109">
        <v>336</v>
      </c>
      <c r="H135" s="110">
        <f>F135*G135</f>
        <v>4368</v>
      </c>
      <c r="I135" s="88"/>
      <c r="J135" s="67"/>
      <c r="K135" s="67"/>
      <c r="L135" s="67"/>
      <c r="M135" s="67"/>
      <c r="N135" s="67"/>
      <c r="O135" s="67"/>
      <c r="P135" s="81"/>
    </row>
    <row r="136" spans="1:16" ht="13.2" customHeight="1">
      <c r="A136" s="97"/>
      <c r="B136" s="104"/>
      <c r="C136" s="105"/>
      <c r="D136" s="106" t="s">
        <v>108</v>
      </c>
      <c r="E136" s="107"/>
      <c r="F136" s="108">
        <f>F134</f>
        <v>13</v>
      </c>
      <c r="G136" s="109"/>
      <c r="H136" s="110"/>
      <c r="I136" s="88"/>
      <c r="J136" s="67"/>
      <c r="K136" s="67"/>
      <c r="L136" s="67"/>
      <c r="M136" s="67"/>
      <c r="N136" s="67"/>
      <c r="O136" s="67"/>
      <c r="P136" s="81"/>
    </row>
    <row r="137" spans="1:16" ht="26.4" customHeight="1">
      <c r="A137" s="97"/>
      <c r="B137" s="122">
        <f>B135+1</f>
        <v>47</v>
      </c>
      <c r="C137" s="123">
        <v>155214521</v>
      </c>
      <c r="D137" s="106" t="s">
        <v>109</v>
      </c>
      <c r="E137" s="112" t="s">
        <v>35</v>
      </c>
      <c r="F137" s="108">
        <f>SUM(F138:F138)</f>
        <v>72</v>
      </c>
      <c r="G137" s="109">
        <v>515</v>
      </c>
      <c r="H137" s="110">
        <f>F137*G137</f>
        <v>37080</v>
      </c>
      <c r="I137" s="88"/>
      <c r="J137" s="67"/>
      <c r="K137" s="67"/>
      <c r="L137" s="67"/>
      <c r="M137" s="67"/>
      <c r="N137" s="67"/>
      <c r="O137" s="67"/>
      <c r="P137" s="81"/>
    </row>
    <row r="138" spans="1:16" ht="13.2" customHeight="1">
      <c r="A138" s="97"/>
      <c r="B138" s="104"/>
      <c r="C138" s="105"/>
      <c r="D138" s="106" t="s">
        <v>127</v>
      </c>
      <c r="E138" s="107"/>
      <c r="F138" s="108">
        <f>(F135-1)*3*2</f>
        <v>72</v>
      </c>
      <c r="G138" s="109"/>
      <c r="H138" s="110"/>
      <c r="I138" s="88"/>
      <c r="J138" s="67"/>
      <c r="K138" s="67"/>
      <c r="L138" s="67"/>
      <c r="M138" s="67"/>
      <c r="N138" s="67"/>
      <c r="O138" s="67"/>
      <c r="P138" s="81"/>
    </row>
    <row r="139" spans="1:16" ht="13.2" customHeight="1">
      <c r="A139" s="97"/>
      <c r="B139" s="122">
        <f>B137+1</f>
        <v>48</v>
      </c>
      <c r="C139" s="123">
        <v>31319153</v>
      </c>
      <c r="D139" s="106" t="s">
        <v>85</v>
      </c>
      <c r="E139" s="112" t="s">
        <v>35</v>
      </c>
      <c r="F139" s="124">
        <f>SUM(F140:F140)</f>
        <v>86.4</v>
      </c>
      <c r="G139" s="125">
        <v>110</v>
      </c>
      <c r="H139" s="126">
        <f>F139*G139</f>
        <v>9504</v>
      </c>
      <c r="I139" s="88"/>
      <c r="J139" s="67"/>
      <c r="K139" s="67"/>
      <c r="L139" s="67"/>
      <c r="M139" s="67"/>
      <c r="N139" s="67"/>
      <c r="O139" s="67"/>
      <c r="P139" s="81"/>
    </row>
    <row r="140" spans="1:16" ht="13.2" customHeight="1">
      <c r="A140" s="97"/>
      <c r="B140" s="104"/>
      <c r="C140" s="105"/>
      <c r="D140" s="106" t="s">
        <v>128</v>
      </c>
      <c r="E140" s="107"/>
      <c r="F140" s="108">
        <f>F138*1.2</f>
        <v>86.4</v>
      </c>
      <c r="G140" s="109"/>
      <c r="H140" s="110"/>
      <c r="I140" s="88"/>
      <c r="J140" s="67"/>
      <c r="K140" s="67"/>
      <c r="L140" s="67"/>
      <c r="M140" s="67"/>
      <c r="N140" s="67"/>
      <c r="O140" s="67"/>
      <c r="P140" s="81"/>
    </row>
    <row r="141" spans="1:16" ht="26.4" customHeight="1">
      <c r="A141" s="97"/>
      <c r="B141" s="122">
        <f>B139+1</f>
        <v>49</v>
      </c>
      <c r="C141" s="123">
        <v>155214525</v>
      </c>
      <c r="D141" s="106" t="s">
        <v>112</v>
      </c>
      <c r="E141" s="112" t="s">
        <v>64</v>
      </c>
      <c r="F141" s="108">
        <f>SUM(F142:F142)</f>
        <v>225</v>
      </c>
      <c r="G141" s="109">
        <v>35.4</v>
      </c>
      <c r="H141" s="110">
        <f>F141*G141</f>
        <v>7965</v>
      </c>
      <c r="I141" s="88"/>
      <c r="J141" s="67"/>
      <c r="K141" s="67"/>
      <c r="L141" s="67"/>
      <c r="M141" s="67"/>
      <c r="N141" s="67"/>
      <c r="O141" s="67"/>
      <c r="P141" s="81"/>
    </row>
    <row r="142" spans="1:16" ht="13.2" customHeight="1">
      <c r="A142" s="97"/>
      <c r="B142" s="104"/>
      <c r="C142" s="105"/>
      <c r="D142" s="106" t="s">
        <v>129</v>
      </c>
      <c r="E142" s="107"/>
      <c r="F142" s="108">
        <f>((((F134-1)*3)*5)+(F132*3))</f>
        <v>225</v>
      </c>
      <c r="G142" s="109"/>
      <c r="H142" s="110"/>
      <c r="I142" s="88"/>
      <c r="J142" s="67"/>
      <c r="K142" s="67"/>
      <c r="L142" s="67"/>
      <c r="M142" s="67"/>
      <c r="N142" s="67"/>
      <c r="O142" s="67"/>
      <c r="P142" s="81"/>
    </row>
    <row r="143" spans="1:16" ht="13.2" customHeight="1">
      <c r="A143" s="97"/>
      <c r="B143" s="122">
        <f>B141+1</f>
        <v>50</v>
      </c>
      <c r="C143" s="123">
        <v>31452107</v>
      </c>
      <c r="D143" s="106" t="s">
        <v>114</v>
      </c>
      <c r="E143" s="112" t="s">
        <v>64</v>
      </c>
      <c r="F143" s="108">
        <f>SUM(F144:F144)</f>
        <v>270</v>
      </c>
      <c r="G143" s="109">
        <v>30.2</v>
      </c>
      <c r="H143" s="110">
        <f>F143*G143</f>
        <v>8154</v>
      </c>
      <c r="I143" s="88"/>
      <c r="J143" s="67"/>
      <c r="K143" s="67"/>
      <c r="L143" s="67"/>
      <c r="M143" s="67"/>
      <c r="N143" s="67"/>
      <c r="O143" s="67"/>
      <c r="P143" s="81"/>
    </row>
    <row r="144" spans="1:16" ht="13.2" customHeight="1">
      <c r="A144" s="97"/>
      <c r="B144" s="104"/>
      <c r="C144" s="105"/>
      <c r="D144" s="106" t="s">
        <v>130</v>
      </c>
      <c r="E144" s="107"/>
      <c r="F144" s="108">
        <f>F142*1.2</f>
        <v>270</v>
      </c>
      <c r="G144" s="109"/>
      <c r="H144" s="110"/>
      <c r="I144" s="88"/>
      <c r="J144" s="67"/>
      <c r="K144" s="67"/>
      <c r="L144" s="67"/>
      <c r="M144" s="67"/>
      <c r="N144" s="67"/>
      <c r="O144" s="67"/>
      <c r="P144" s="81"/>
    </row>
    <row r="145" spans="1:16" ht="13.2" customHeight="1">
      <c r="A145" s="97"/>
      <c r="B145" s="122">
        <f>B143+1</f>
        <v>51</v>
      </c>
      <c r="C145" s="123">
        <v>31452182</v>
      </c>
      <c r="D145" s="106" t="s">
        <v>91</v>
      </c>
      <c r="E145" s="112" t="s">
        <v>49</v>
      </c>
      <c r="F145" s="124">
        <f>SUM(F146:F146)</f>
        <v>90</v>
      </c>
      <c r="G145" s="125">
        <v>5.3</v>
      </c>
      <c r="H145" s="126">
        <f>F145*G145</f>
        <v>477</v>
      </c>
      <c r="I145" s="88"/>
      <c r="J145" s="67"/>
      <c r="K145" s="67"/>
      <c r="L145" s="67"/>
      <c r="M145" s="67"/>
      <c r="N145" s="67"/>
      <c r="O145" s="67"/>
      <c r="P145" s="81"/>
    </row>
    <row r="146" spans="1:16" ht="13.2" customHeight="1">
      <c r="A146" s="97"/>
      <c r="B146" s="127"/>
      <c r="C146" s="128"/>
      <c r="D146" s="106" t="s">
        <v>131</v>
      </c>
      <c r="E146" s="107"/>
      <c r="F146" s="124">
        <f>(F132*4)+((ROUND((((F134-1)*3)/15),0)+1)*2*5)</f>
        <v>90</v>
      </c>
      <c r="G146" s="125"/>
      <c r="H146" s="126"/>
      <c r="I146" s="160"/>
      <c r="J146" s="67"/>
      <c r="K146" s="67"/>
      <c r="L146" s="67"/>
      <c r="M146" s="67"/>
      <c r="N146" s="67"/>
      <c r="O146" s="67"/>
      <c r="P146" s="81"/>
    </row>
    <row r="147" spans="1:16" ht="13.2" customHeight="1">
      <c r="A147" s="97"/>
      <c r="B147" s="122">
        <f>B145+1</f>
        <v>52</v>
      </c>
      <c r="C147" s="145" t="s">
        <v>93</v>
      </c>
      <c r="D147" s="106" t="s">
        <v>94</v>
      </c>
      <c r="E147" s="112" t="s">
        <v>117</v>
      </c>
      <c r="F147" s="124">
        <f>SUM(F148:F148)</f>
        <v>1</v>
      </c>
      <c r="G147" s="125">
        <v>2035</v>
      </c>
      <c r="H147" s="126">
        <f>F147*G147</f>
        <v>2035</v>
      </c>
      <c r="I147" s="160"/>
      <c r="J147" s="67"/>
      <c r="K147" s="67"/>
      <c r="L147" s="67"/>
      <c r="M147" s="67"/>
      <c r="N147" s="67"/>
      <c r="O147" s="67"/>
      <c r="P147" s="81"/>
    </row>
    <row r="148" spans="1:16" ht="13.2" customHeight="1">
      <c r="A148" s="97"/>
      <c r="B148" s="127"/>
      <c r="C148" s="128"/>
      <c r="D148" s="106" t="s">
        <v>132</v>
      </c>
      <c r="E148" s="107"/>
      <c r="F148" s="124">
        <f>CEILING((F138*8)/1600,1)</f>
        <v>1</v>
      </c>
      <c r="G148" s="125"/>
      <c r="H148" s="126"/>
      <c r="I148" s="161"/>
      <c r="J148" s="67"/>
      <c r="K148" s="67"/>
      <c r="L148" s="67"/>
      <c r="M148" s="67"/>
      <c r="N148" s="67"/>
      <c r="O148" s="67"/>
      <c r="P148" s="81"/>
    </row>
    <row r="149" spans="1:16" ht="26.4" customHeight="1">
      <c r="A149" s="97"/>
      <c r="B149" s="122">
        <f>B147+1</f>
        <v>53</v>
      </c>
      <c r="C149" s="145" t="s">
        <v>68</v>
      </c>
      <c r="D149" s="106" t="s">
        <v>69</v>
      </c>
      <c r="E149" s="112" t="s">
        <v>70</v>
      </c>
      <c r="F149" s="124">
        <f>SUM(F150:F150)</f>
        <v>0.201927300375734</v>
      </c>
      <c r="G149" s="125">
        <v>3960</v>
      </c>
      <c r="H149" s="126">
        <f>F149*G149</f>
        <v>799.632109487907</v>
      </c>
      <c r="I149" s="161"/>
      <c r="J149" s="67"/>
      <c r="K149" s="67"/>
      <c r="L149" s="67"/>
      <c r="M149" s="67"/>
      <c r="N149" s="67"/>
      <c r="O149" s="67"/>
      <c r="P149" s="81"/>
    </row>
    <row r="150" spans="1:16" ht="13.2" customHeight="1">
      <c r="A150" s="97"/>
      <c r="B150" s="104"/>
      <c r="C150" s="105"/>
      <c r="D150" s="106" t="s">
        <v>133</v>
      </c>
      <c r="E150" s="107"/>
      <c r="F150" s="124">
        <f>((PI())*(0.028^2)*(F132)*1.2*1.22*2)+((PI())*(0.028^2)*(F134)*1.2*1.22*2)</f>
        <v>0.201927300375734</v>
      </c>
      <c r="G150" s="125"/>
      <c r="H150" s="126"/>
      <c r="I150" s="161"/>
      <c r="J150" s="67"/>
      <c r="K150" s="67"/>
      <c r="L150" s="67"/>
      <c r="M150" s="67"/>
      <c r="N150" s="67"/>
      <c r="O150" s="67"/>
      <c r="P150" s="81"/>
    </row>
    <row r="151" spans="1:16" ht="13.2" customHeight="1">
      <c r="A151" s="97"/>
      <c r="B151" s="122">
        <f>B149+1</f>
        <v>54</v>
      </c>
      <c r="C151" s="123">
        <v>281604111</v>
      </c>
      <c r="D151" s="106" t="s">
        <v>72</v>
      </c>
      <c r="E151" s="112" t="s">
        <v>73</v>
      </c>
      <c r="F151" s="124">
        <f>SUM(F152:F152)</f>
        <v>5</v>
      </c>
      <c r="G151" s="125">
        <v>2260</v>
      </c>
      <c r="H151" s="126">
        <f>F151*G151</f>
        <v>11300</v>
      </c>
      <c r="I151" s="161"/>
      <c r="J151" s="67"/>
      <c r="K151" s="67"/>
      <c r="L151" s="67"/>
      <c r="M151" s="67"/>
      <c r="N151" s="67"/>
      <c r="O151" s="67"/>
      <c r="P151" s="81"/>
    </row>
    <row r="152" spans="1:16" ht="13.2" customHeight="1">
      <c r="A152" s="97"/>
      <c r="B152" s="104"/>
      <c r="C152" s="105"/>
      <c r="D152" s="106" t="s">
        <v>134</v>
      </c>
      <c r="E152" s="107"/>
      <c r="F152" s="124">
        <f>CEILING((F131*1.2*0.1)+(F133*1.2*0.2),1)</f>
        <v>5</v>
      </c>
      <c r="G152" s="125"/>
      <c r="H152" s="126"/>
      <c r="I152" s="161"/>
      <c r="J152" s="67"/>
      <c r="K152" s="67"/>
      <c r="L152" s="67"/>
      <c r="M152" s="67"/>
      <c r="N152" s="67"/>
      <c r="O152" s="67"/>
      <c r="P152" s="81"/>
    </row>
    <row r="153" spans="1:16" ht="13.2" customHeight="1">
      <c r="A153" s="97"/>
      <c r="B153" s="122">
        <f>B151+1</f>
        <v>55</v>
      </c>
      <c r="C153" s="145" t="s">
        <v>75</v>
      </c>
      <c r="D153" s="106" t="s">
        <v>76</v>
      </c>
      <c r="E153" s="112" t="s">
        <v>35</v>
      </c>
      <c r="F153" s="124">
        <f>SUM(F154:F154)</f>
        <v>16.57</v>
      </c>
      <c r="G153" s="125">
        <v>850</v>
      </c>
      <c r="H153" s="126">
        <f>F153*G153</f>
        <v>14084.5</v>
      </c>
      <c r="I153" s="161"/>
      <c r="J153" s="67"/>
      <c r="K153" s="67"/>
      <c r="L153" s="67"/>
      <c r="M153" s="67"/>
      <c r="N153" s="67"/>
      <c r="O153" s="67"/>
      <c r="P153" s="81"/>
    </row>
    <row r="154" spans="1:16" ht="13.8" customHeight="1">
      <c r="A154" s="97"/>
      <c r="B154" s="134"/>
      <c r="C154" s="135"/>
      <c r="D154" s="115" t="s">
        <v>135</v>
      </c>
      <c r="E154" s="136"/>
      <c r="F154" s="137">
        <f>((F132*0.015)+(F134*0.62))*2</f>
        <v>16.57</v>
      </c>
      <c r="G154" s="138"/>
      <c r="H154" s="139"/>
      <c r="I154" s="161"/>
      <c r="J154" s="67"/>
      <c r="K154" s="67"/>
      <c r="L154" s="67"/>
      <c r="M154" s="67"/>
      <c r="N154" s="67"/>
      <c r="O154" s="67"/>
      <c r="P154" s="81"/>
    </row>
    <row r="155" spans="1:16" ht="13.8" customHeight="1">
      <c r="A155" s="97"/>
      <c r="B155" s="94" t="s">
        <v>136</v>
      </c>
      <c r="C155" s="95"/>
      <c r="D155" s="95"/>
      <c r="E155" s="95"/>
      <c r="F155" s="95"/>
      <c r="G155" s="95"/>
      <c r="H155" s="96">
        <f>SUM(H156:H163)</f>
        <v>47139.2</v>
      </c>
      <c r="I155" s="160"/>
      <c r="J155" s="67"/>
      <c r="K155" s="67"/>
      <c r="L155" s="67"/>
      <c r="M155" s="67"/>
      <c r="N155" s="67"/>
      <c r="O155" s="67"/>
      <c r="P155" s="81"/>
    </row>
    <row r="156" spans="1:16" ht="13.2" customHeight="1">
      <c r="A156" s="97"/>
      <c r="B156" s="119">
        <f>B153+1</f>
        <v>56</v>
      </c>
      <c r="C156" s="120">
        <v>162701105</v>
      </c>
      <c r="D156" s="100" t="s">
        <v>137</v>
      </c>
      <c r="E156" s="99" t="s">
        <v>46</v>
      </c>
      <c r="F156" s="140">
        <f>F157</f>
        <v>32</v>
      </c>
      <c r="G156" s="141">
        <v>258</v>
      </c>
      <c r="H156" s="142">
        <f>F156*G156</f>
        <v>8256</v>
      </c>
      <c r="I156" s="160"/>
      <c r="J156" s="67"/>
      <c r="K156" s="67"/>
      <c r="L156" s="67"/>
      <c r="M156" s="67"/>
      <c r="N156" s="67"/>
      <c r="O156" s="67"/>
      <c r="P156" s="81"/>
    </row>
    <row r="157" spans="1:16" ht="13.2" customHeight="1">
      <c r="A157" s="97"/>
      <c r="B157" s="162"/>
      <c r="C157" s="163"/>
      <c r="D157" s="106" t="s">
        <v>138</v>
      </c>
      <c r="E157" s="107"/>
      <c r="F157" s="124">
        <f>SUM(F36+F28+F30+F38)</f>
        <v>32</v>
      </c>
      <c r="G157" s="125"/>
      <c r="H157" s="126"/>
      <c r="I157" s="160"/>
      <c r="J157" s="67"/>
      <c r="K157" s="67"/>
      <c r="L157" s="67"/>
      <c r="M157" s="67"/>
      <c r="N157" s="67"/>
      <c r="O157" s="67"/>
      <c r="P157" s="81"/>
    </row>
    <row r="158" spans="1:16" ht="26.4" customHeight="1">
      <c r="A158" s="97"/>
      <c r="B158" s="122">
        <f>B156+1</f>
        <v>57</v>
      </c>
      <c r="C158" s="123">
        <v>162701109</v>
      </c>
      <c r="D158" s="106" t="s">
        <v>139</v>
      </c>
      <c r="E158" s="112" t="s">
        <v>46</v>
      </c>
      <c r="F158" s="124">
        <f>F159</f>
        <v>736</v>
      </c>
      <c r="G158" s="125">
        <v>19.8</v>
      </c>
      <c r="H158" s="126">
        <f>F158*G158</f>
        <v>14572.8</v>
      </c>
      <c r="I158" s="160"/>
      <c r="J158" s="67"/>
      <c r="K158" s="67"/>
      <c r="L158" s="67"/>
      <c r="M158" s="67"/>
      <c r="N158" s="67"/>
      <c r="O158" s="67"/>
      <c r="P158" s="81"/>
    </row>
    <row r="159" spans="1:16" ht="13.2" customHeight="1">
      <c r="A159" s="97"/>
      <c r="B159" s="104"/>
      <c r="C159" s="105"/>
      <c r="D159" s="106" t="s">
        <v>140</v>
      </c>
      <c r="E159" s="107"/>
      <c r="F159" s="124">
        <f>23*F156</f>
        <v>736</v>
      </c>
      <c r="G159" s="125"/>
      <c r="H159" s="126"/>
      <c r="I159" s="160"/>
      <c r="J159" s="67"/>
      <c r="K159" s="67"/>
      <c r="L159" s="67"/>
      <c r="M159" s="67"/>
      <c r="N159" s="67"/>
      <c r="O159" s="67"/>
      <c r="P159" s="81"/>
    </row>
    <row r="160" spans="1:16" ht="13.2" customHeight="1">
      <c r="A160" s="97"/>
      <c r="B160" s="122">
        <f>B158+1</f>
        <v>58</v>
      </c>
      <c r="C160" s="123">
        <v>167101101</v>
      </c>
      <c r="D160" s="106" t="s">
        <v>141</v>
      </c>
      <c r="E160" s="112" t="s">
        <v>46</v>
      </c>
      <c r="F160" s="124">
        <f>F156</f>
        <v>32</v>
      </c>
      <c r="G160" s="125">
        <v>195</v>
      </c>
      <c r="H160" s="126">
        <f>F160*G160</f>
        <v>6240</v>
      </c>
      <c r="I160" s="160"/>
      <c r="J160" s="67"/>
      <c r="K160" s="67"/>
      <c r="L160" s="67"/>
      <c r="M160" s="67"/>
      <c r="N160" s="67"/>
      <c r="O160" s="67"/>
      <c r="P160" s="81"/>
    </row>
    <row r="161" spans="1:16" ht="13.2" customHeight="1">
      <c r="A161" s="97"/>
      <c r="B161" s="122">
        <f>B160+1</f>
        <v>59</v>
      </c>
      <c r="C161" s="123">
        <v>167101103</v>
      </c>
      <c r="D161" s="106" t="s">
        <v>142</v>
      </c>
      <c r="E161" s="112" t="s">
        <v>46</v>
      </c>
      <c r="F161" s="124">
        <f>F156</f>
        <v>32</v>
      </c>
      <c r="G161" s="125">
        <v>128</v>
      </c>
      <c r="H161" s="126">
        <f>F161*G161</f>
        <v>4096</v>
      </c>
      <c r="I161" s="160"/>
      <c r="J161" s="67"/>
      <c r="K161" s="67"/>
      <c r="L161" s="67"/>
      <c r="M161" s="67"/>
      <c r="N161" s="67"/>
      <c r="O161" s="67"/>
      <c r="P161" s="81"/>
    </row>
    <row r="162" spans="1:16" ht="13.2" customHeight="1">
      <c r="A162" s="97"/>
      <c r="B162" s="122">
        <f>B161+1</f>
        <v>60</v>
      </c>
      <c r="C162" s="123">
        <v>171201201</v>
      </c>
      <c r="D162" s="106" t="s">
        <v>143</v>
      </c>
      <c r="E162" s="112" t="s">
        <v>46</v>
      </c>
      <c r="F162" s="124">
        <f>F161</f>
        <v>32</v>
      </c>
      <c r="G162" s="125">
        <v>16.7</v>
      </c>
      <c r="H162" s="126">
        <f>F162*G162</f>
        <v>534.4</v>
      </c>
      <c r="I162" s="160"/>
      <c r="J162" s="67"/>
      <c r="K162" s="67"/>
      <c r="L162" s="67"/>
      <c r="M162" s="67"/>
      <c r="N162" s="67"/>
      <c r="O162" s="67"/>
      <c r="P162" s="81"/>
    </row>
    <row r="163" spans="1:16" ht="13.8" customHeight="1">
      <c r="A163" s="97"/>
      <c r="B163" s="164">
        <f>B162+1</f>
        <v>61</v>
      </c>
      <c r="C163" s="165">
        <v>171201211</v>
      </c>
      <c r="D163" s="115" t="s">
        <v>144</v>
      </c>
      <c r="E163" s="114" t="s">
        <v>70</v>
      </c>
      <c r="F163" s="137">
        <f>F162*2</f>
        <v>64</v>
      </c>
      <c r="G163" s="138">
        <v>210</v>
      </c>
      <c r="H163" s="139">
        <f>F163*G163</f>
        <v>13440</v>
      </c>
      <c r="I163" s="160"/>
      <c r="J163" s="67"/>
      <c r="K163" s="67"/>
      <c r="L163" s="67"/>
      <c r="M163" s="67"/>
      <c r="N163" s="67"/>
      <c r="O163" s="67"/>
      <c r="P163" s="81"/>
    </row>
    <row r="164" spans="1:16" ht="13.8" customHeight="1">
      <c r="A164" s="97"/>
      <c r="B164" s="94" t="s">
        <v>145</v>
      </c>
      <c r="C164" s="95"/>
      <c r="D164" s="95"/>
      <c r="E164" s="95"/>
      <c r="F164" s="95"/>
      <c r="G164" s="95"/>
      <c r="H164" s="96">
        <f>SUM(H165:H169)</f>
        <v>0</v>
      </c>
      <c r="I164" s="160"/>
      <c r="J164" s="67"/>
      <c r="K164" s="67"/>
      <c r="L164" s="67"/>
      <c r="M164" s="67"/>
      <c r="N164" s="67"/>
      <c r="O164" s="67"/>
      <c r="P164" s="81"/>
    </row>
    <row r="165" spans="1:16" ht="13.2" customHeight="1">
      <c r="A165" s="97"/>
      <c r="B165" s="119">
        <f>B163+1</f>
        <v>62</v>
      </c>
      <c r="C165" s="166" t="s">
        <v>146</v>
      </c>
      <c r="D165" s="100" t="s">
        <v>147</v>
      </c>
      <c r="E165" s="99" t="s">
        <v>148</v>
      </c>
      <c r="F165" s="140">
        <v>1</v>
      </c>
      <c r="G165" s="141">
        <v>0</v>
      </c>
      <c r="H165" s="142">
        <f>F165*G165</f>
        <v>0</v>
      </c>
      <c r="I165" s="160"/>
      <c r="J165" s="67"/>
      <c r="K165" s="67"/>
      <c r="L165" s="67"/>
      <c r="M165" s="67"/>
      <c r="N165" s="67"/>
      <c r="O165" s="67"/>
      <c r="P165" s="81"/>
    </row>
    <row r="166" spans="1:16" ht="13.2" customHeight="1">
      <c r="A166" s="97"/>
      <c r="B166" s="122">
        <f>B165+1</f>
        <v>63</v>
      </c>
      <c r="C166" s="145" t="s">
        <v>149</v>
      </c>
      <c r="D166" s="106" t="s">
        <v>150</v>
      </c>
      <c r="E166" s="112" t="s">
        <v>148</v>
      </c>
      <c r="F166" s="124">
        <v>1</v>
      </c>
      <c r="G166" s="125">
        <v>0</v>
      </c>
      <c r="H166" s="126">
        <f>F166*G166</f>
        <v>0</v>
      </c>
      <c r="I166" s="160"/>
      <c r="J166" s="67"/>
      <c r="K166" s="67"/>
      <c r="L166" s="67"/>
      <c r="M166" s="67"/>
      <c r="N166" s="67"/>
      <c r="O166" s="67"/>
      <c r="P166" s="81"/>
    </row>
    <row r="167" spans="1:16" ht="13.2" customHeight="1">
      <c r="A167" s="97"/>
      <c r="B167" s="122">
        <f>B166+1</f>
        <v>64</v>
      </c>
      <c r="C167" s="145" t="s">
        <v>151</v>
      </c>
      <c r="D167" s="106" t="s">
        <v>152</v>
      </c>
      <c r="E167" s="112" t="s">
        <v>148</v>
      </c>
      <c r="F167" s="124">
        <v>1</v>
      </c>
      <c r="G167" s="125">
        <v>0</v>
      </c>
      <c r="H167" s="126">
        <f>F167*G167</f>
        <v>0</v>
      </c>
      <c r="I167" s="160"/>
      <c r="J167" s="67"/>
      <c r="K167" s="67"/>
      <c r="L167" s="67"/>
      <c r="M167" s="67"/>
      <c r="N167" s="67"/>
      <c r="O167" s="67"/>
      <c r="P167" s="81"/>
    </row>
    <row r="168" spans="1:16" ht="26.4" customHeight="1">
      <c r="A168" s="97"/>
      <c r="B168" s="122">
        <f>B167+1</f>
        <v>65</v>
      </c>
      <c r="C168" s="145" t="s">
        <v>153</v>
      </c>
      <c r="D168" s="106" t="s">
        <v>154</v>
      </c>
      <c r="E168" s="112" t="s">
        <v>148</v>
      </c>
      <c r="F168" s="124">
        <v>1</v>
      </c>
      <c r="G168" s="125">
        <v>0</v>
      </c>
      <c r="H168" s="126">
        <f>F168*G168</f>
        <v>0</v>
      </c>
      <c r="I168" s="160"/>
      <c r="J168" s="67"/>
      <c r="K168" s="67"/>
      <c r="L168" s="67"/>
      <c r="M168" s="67"/>
      <c r="N168" s="67"/>
      <c r="O168" s="67"/>
      <c r="P168" s="81"/>
    </row>
    <row r="169" spans="1:16" ht="13.8" customHeight="1">
      <c r="A169" s="97"/>
      <c r="B169" s="164">
        <f>B168+1</f>
        <v>66</v>
      </c>
      <c r="C169" s="167" t="s">
        <v>155</v>
      </c>
      <c r="D169" s="115" t="s">
        <v>156</v>
      </c>
      <c r="E169" s="114" t="s">
        <v>148</v>
      </c>
      <c r="F169" s="137">
        <v>1</v>
      </c>
      <c r="G169" s="138">
        <v>0</v>
      </c>
      <c r="H169" s="139">
        <f>F169*G169</f>
        <v>0</v>
      </c>
      <c r="I169" s="160"/>
      <c r="J169" s="67"/>
      <c r="K169" s="67"/>
      <c r="L169" s="67"/>
      <c r="M169" s="67"/>
      <c r="N169" s="67"/>
      <c r="O169" s="67"/>
      <c r="P169" s="81"/>
    </row>
    <row r="170" spans="1:16" ht="16.2" customHeight="1">
      <c r="A170" s="168"/>
      <c r="B170" s="54"/>
      <c r="C170" s="54"/>
      <c r="D170" s="54"/>
      <c r="E170" s="54"/>
      <c r="F170" s="169"/>
      <c r="G170" s="170" t="s">
        <v>157</v>
      </c>
      <c r="H170" s="171">
        <f>SUM(H165:H169,H156:H163,H52:H75,H41:H50,H22:H39,H16:H20,H102:H127,H129:H154,H77:H100)</f>
        <v>1921655.47910514</v>
      </c>
      <c r="I170" s="160"/>
      <c r="J170" s="67"/>
      <c r="K170" s="67"/>
      <c r="L170" s="67"/>
      <c r="M170" s="67"/>
      <c r="N170" s="67"/>
      <c r="O170" s="67"/>
      <c r="P170" s="81"/>
    </row>
    <row r="171" spans="1:16" ht="10.2" customHeight="1">
      <c r="A171" s="168"/>
      <c r="B171" s="59"/>
      <c r="C171" s="59"/>
      <c r="D171" s="59"/>
      <c r="E171" s="59"/>
      <c r="F171" s="59"/>
      <c r="G171" s="54"/>
      <c r="H171" s="60"/>
      <c r="I171" s="67"/>
      <c r="J171" s="67"/>
      <c r="K171" s="67"/>
      <c r="L171" s="67"/>
      <c r="M171" s="67"/>
      <c r="N171" s="67"/>
      <c r="O171" s="67"/>
      <c r="P171" s="81"/>
    </row>
    <row r="172" spans="1:16" ht="10.2" customHeight="1">
      <c r="A172" s="168"/>
      <c r="B172" s="59"/>
      <c r="C172" s="59"/>
      <c r="D172" s="59"/>
      <c r="E172" s="59"/>
      <c r="F172" s="59"/>
      <c r="G172" s="65"/>
      <c r="H172" s="65"/>
      <c r="I172" s="67"/>
      <c r="J172" s="67"/>
      <c r="K172" s="67"/>
      <c r="L172" s="67"/>
      <c r="M172" s="67"/>
      <c r="N172" s="67"/>
      <c r="O172" s="67"/>
      <c r="P172" s="81"/>
    </row>
    <row r="173" spans="1:16" ht="13.2" customHeight="1">
      <c r="A173" s="168"/>
      <c r="B173" s="59"/>
      <c r="C173" s="59"/>
      <c r="D173" s="59"/>
      <c r="E173" s="59"/>
      <c r="F173" s="172"/>
      <c r="G173" s="173"/>
      <c r="H173" s="173"/>
      <c r="I173" s="67"/>
      <c r="J173" s="67"/>
      <c r="K173" s="67"/>
      <c r="L173" s="67"/>
      <c r="M173" s="67"/>
      <c r="N173" s="67"/>
      <c r="O173" s="67"/>
      <c r="P173" s="81"/>
    </row>
    <row r="174" spans="1:16" ht="13.2" customHeight="1">
      <c r="A174" s="168"/>
      <c r="B174" s="59"/>
      <c r="C174" s="59"/>
      <c r="D174" s="59"/>
      <c r="E174" s="59"/>
      <c r="F174" s="174"/>
      <c r="G174" s="175"/>
      <c r="H174" s="175"/>
      <c r="I174" s="67"/>
      <c r="J174" s="67"/>
      <c r="K174" s="67"/>
      <c r="L174" s="67"/>
      <c r="M174" s="67"/>
      <c r="N174" s="67"/>
      <c r="O174" s="67"/>
      <c r="P174" s="81"/>
    </row>
    <row r="175" spans="1:16" ht="13.2" customHeight="1">
      <c r="A175" s="168"/>
      <c r="B175" s="59"/>
      <c r="C175" s="59"/>
      <c r="D175" s="59"/>
      <c r="E175" s="59"/>
      <c r="F175" s="174"/>
      <c r="G175" s="175"/>
      <c r="H175" s="175"/>
      <c r="I175" s="67"/>
      <c r="J175" s="67"/>
      <c r="K175" s="67"/>
      <c r="L175" s="67"/>
      <c r="M175" s="67"/>
      <c r="N175" s="67"/>
      <c r="O175" s="67"/>
      <c r="P175" s="81"/>
    </row>
    <row r="176" spans="1:16" ht="13.2" customHeight="1">
      <c r="A176" s="168"/>
      <c r="B176" s="59"/>
      <c r="C176" s="59"/>
      <c r="D176" s="59"/>
      <c r="E176" s="59"/>
      <c r="F176" s="174"/>
      <c r="G176" s="175"/>
      <c r="H176" s="175"/>
      <c r="I176" s="67"/>
      <c r="J176" s="67"/>
      <c r="K176" s="67"/>
      <c r="L176" s="67"/>
      <c r="M176" s="67"/>
      <c r="N176" s="67"/>
      <c r="O176" s="67"/>
      <c r="P176" s="81"/>
    </row>
    <row r="177" spans="1:16" ht="13.2" customHeight="1">
      <c r="A177" s="168"/>
      <c r="B177" s="59"/>
      <c r="C177" s="59"/>
      <c r="D177" s="59"/>
      <c r="E177" s="59"/>
      <c r="F177" s="174"/>
      <c r="G177" s="175"/>
      <c r="H177" s="175"/>
      <c r="I177" s="67"/>
      <c r="J177" s="67"/>
      <c r="K177" s="67"/>
      <c r="L177" s="67"/>
      <c r="M177" s="67"/>
      <c r="N177" s="67"/>
      <c r="O177" s="67"/>
      <c r="P177" s="81"/>
    </row>
    <row r="178" spans="1:16" ht="13.2" customHeight="1">
      <c r="A178" s="168"/>
      <c r="B178" s="59"/>
      <c r="C178" s="59"/>
      <c r="D178" s="59"/>
      <c r="E178" s="59"/>
      <c r="F178" s="174"/>
      <c r="G178" s="175"/>
      <c r="H178" s="175"/>
      <c r="I178" s="67"/>
      <c r="J178" s="67"/>
      <c r="K178" s="67"/>
      <c r="L178" s="67"/>
      <c r="M178" s="67"/>
      <c r="N178" s="67"/>
      <c r="O178" s="67"/>
      <c r="P178" s="81"/>
    </row>
    <row r="179" spans="1:16" ht="13.2" customHeight="1">
      <c r="A179" s="168"/>
      <c r="B179" s="59"/>
      <c r="C179" s="59"/>
      <c r="D179" s="59"/>
      <c r="E179" s="59"/>
      <c r="F179" s="174"/>
      <c r="G179" s="175"/>
      <c r="H179" s="175"/>
      <c r="I179" s="67"/>
      <c r="J179" s="67"/>
      <c r="K179" s="67"/>
      <c r="L179" s="67"/>
      <c r="M179" s="67"/>
      <c r="N179" s="67"/>
      <c r="O179" s="67"/>
      <c r="P179" s="81"/>
    </row>
    <row r="180" spans="1:16" ht="10.2" customHeight="1">
      <c r="A180" s="168"/>
      <c r="B180" s="59"/>
      <c r="C180" s="59"/>
      <c r="D180" s="59"/>
      <c r="E180" s="59"/>
      <c r="F180" s="59"/>
      <c r="G180" s="65"/>
      <c r="H180" s="65"/>
      <c r="I180" s="67"/>
      <c r="J180" s="67"/>
      <c r="K180" s="67"/>
      <c r="L180" s="67"/>
      <c r="M180" s="67"/>
      <c r="N180" s="67"/>
      <c r="O180" s="67"/>
      <c r="P180" s="81"/>
    </row>
    <row r="181" spans="1:16" ht="10.2" customHeight="1">
      <c r="A181" s="168"/>
      <c r="B181" s="59"/>
      <c r="C181" s="59"/>
      <c r="D181" s="59"/>
      <c r="E181" s="59"/>
      <c r="F181" s="59"/>
      <c r="G181" s="65"/>
      <c r="H181" s="65"/>
      <c r="I181" s="67"/>
      <c r="J181" s="67"/>
      <c r="K181" s="67"/>
      <c r="L181" s="67"/>
      <c r="M181" s="67"/>
      <c r="N181" s="67"/>
      <c r="O181" s="67"/>
      <c r="P181" s="81"/>
    </row>
    <row r="182" spans="1:16" ht="10.2" customHeight="1">
      <c r="A182" s="168"/>
      <c r="B182" s="59"/>
      <c r="C182" s="59"/>
      <c r="D182" s="59"/>
      <c r="E182" s="59"/>
      <c r="F182" s="59"/>
      <c r="G182" s="65"/>
      <c r="H182" s="65"/>
      <c r="I182" s="67"/>
      <c r="J182" s="67"/>
      <c r="K182" s="67"/>
      <c r="L182" s="67"/>
      <c r="M182" s="67"/>
      <c r="N182" s="67"/>
      <c r="O182" s="67"/>
      <c r="P182" s="81"/>
    </row>
    <row r="183" spans="1:16" ht="10.2" customHeight="1">
      <c r="A183" s="168"/>
      <c r="B183" s="59"/>
      <c r="C183" s="59"/>
      <c r="D183" s="59"/>
      <c r="E183" s="59"/>
      <c r="F183" s="59"/>
      <c r="G183" s="65"/>
      <c r="H183" s="65"/>
      <c r="I183" s="67"/>
      <c r="J183" s="67"/>
      <c r="K183" s="67"/>
      <c r="L183" s="67"/>
      <c r="M183" s="67"/>
      <c r="N183" s="67"/>
      <c r="O183" s="67"/>
      <c r="P183" s="81"/>
    </row>
    <row r="184" spans="1:16" ht="10.2" customHeight="1">
      <c r="A184" s="168"/>
      <c r="B184" s="59"/>
      <c r="C184" s="59"/>
      <c r="D184" s="59"/>
      <c r="E184" s="59"/>
      <c r="F184" s="59"/>
      <c r="G184" s="65"/>
      <c r="H184" s="65"/>
      <c r="I184" s="67"/>
      <c r="J184" s="67"/>
      <c r="K184" s="67"/>
      <c r="L184" s="67"/>
      <c r="M184" s="67"/>
      <c r="N184" s="67"/>
      <c r="O184" s="67"/>
      <c r="P184" s="81"/>
    </row>
    <row r="185" spans="1:16" ht="10.2" customHeight="1">
      <c r="A185" s="168"/>
      <c r="B185" s="59"/>
      <c r="C185" s="59"/>
      <c r="D185" s="59"/>
      <c r="E185" s="59"/>
      <c r="F185" s="59"/>
      <c r="G185" s="59"/>
      <c r="H185" s="59"/>
      <c r="I185" s="67"/>
      <c r="J185" s="67"/>
      <c r="K185" s="67"/>
      <c r="L185" s="67"/>
      <c r="M185" s="67"/>
      <c r="N185" s="67"/>
      <c r="O185" s="67"/>
      <c r="P185" s="81"/>
    </row>
    <row r="186" spans="1:16" ht="10.2" customHeight="1">
      <c r="A186" s="168"/>
      <c r="B186" s="59"/>
      <c r="C186" s="59"/>
      <c r="D186" s="59"/>
      <c r="E186" s="59"/>
      <c r="F186" s="59"/>
      <c r="G186" s="59"/>
      <c r="H186" s="59"/>
      <c r="I186" s="67"/>
      <c r="J186" s="67"/>
      <c r="K186" s="67"/>
      <c r="L186" s="67"/>
      <c r="M186" s="67"/>
      <c r="N186" s="67"/>
      <c r="O186" s="67"/>
      <c r="P186" s="81"/>
    </row>
    <row r="187" spans="1:16" ht="10.2" customHeight="1">
      <c r="A187" s="168"/>
      <c r="B187" s="59"/>
      <c r="C187" s="59"/>
      <c r="D187" s="59"/>
      <c r="E187" s="59"/>
      <c r="F187" s="59"/>
      <c r="G187" s="59"/>
      <c r="H187" s="59"/>
      <c r="I187" s="67"/>
      <c r="J187" s="67"/>
      <c r="K187" s="67"/>
      <c r="L187" s="67"/>
      <c r="M187" s="67"/>
      <c r="N187" s="67"/>
      <c r="O187" s="67"/>
      <c r="P187" s="81"/>
    </row>
    <row r="188" spans="1:16" ht="10.2" customHeight="1">
      <c r="A188" s="168"/>
      <c r="B188" s="59"/>
      <c r="C188" s="59"/>
      <c r="D188" s="59"/>
      <c r="E188" s="59"/>
      <c r="F188" s="59"/>
      <c r="G188" s="59"/>
      <c r="H188" s="59"/>
      <c r="I188" s="67"/>
      <c r="J188" s="67"/>
      <c r="K188" s="67"/>
      <c r="L188" s="67"/>
      <c r="M188" s="67"/>
      <c r="N188" s="67"/>
      <c r="O188" s="67"/>
      <c r="P188" s="81"/>
    </row>
    <row r="189" spans="1:16" ht="10.2" customHeight="1">
      <c r="A189" s="168"/>
      <c r="B189" s="59"/>
      <c r="C189" s="59"/>
      <c r="D189" s="59"/>
      <c r="E189" s="59"/>
      <c r="F189" s="59"/>
      <c r="G189" s="59"/>
      <c r="H189" s="59"/>
      <c r="I189" s="67"/>
      <c r="J189" s="67"/>
      <c r="K189" s="67"/>
      <c r="L189" s="67"/>
      <c r="M189" s="67"/>
      <c r="N189" s="67"/>
      <c r="O189" s="67"/>
      <c r="P189" s="81"/>
    </row>
    <row r="190" spans="1:16" ht="10.2" customHeight="1">
      <c r="A190" s="168"/>
      <c r="B190" s="59"/>
      <c r="C190" s="59"/>
      <c r="D190" s="59"/>
      <c r="E190" s="59"/>
      <c r="F190" s="59"/>
      <c r="G190" s="59"/>
      <c r="H190" s="59"/>
      <c r="I190" s="67"/>
      <c r="J190" s="67"/>
      <c r="K190" s="67"/>
      <c r="L190" s="67"/>
      <c r="M190" s="67"/>
      <c r="N190" s="67"/>
      <c r="O190" s="67"/>
      <c r="P190" s="81"/>
    </row>
    <row r="191" spans="1:16" ht="10.2" customHeight="1">
      <c r="A191" s="168"/>
      <c r="B191" s="59"/>
      <c r="C191" s="59"/>
      <c r="D191" s="59"/>
      <c r="E191" s="59"/>
      <c r="F191" s="59"/>
      <c r="G191" s="59"/>
      <c r="H191" s="59"/>
      <c r="I191" s="67"/>
      <c r="J191" s="67"/>
      <c r="K191" s="67"/>
      <c r="L191" s="67"/>
      <c r="M191" s="67"/>
      <c r="N191" s="67"/>
      <c r="O191" s="67"/>
      <c r="P191" s="81"/>
    </row>
    <row r="192" spans="1:16" ht="10.2" customHeight="1">
      <c r="A192" s="168"/>
      <c r="B192" s="59"/>
      <c r="C192" s="59"/>
      <c r="D192" s="59"/>
      <c r="E192" s="59"/>
      <c r="F192" s="59"/>
      <c r="G192" s="59"/>
      <c r="H192" s="59"/>
      <c r="I192" s="67"/>
      <c r="J192" s="67"/>
      <c r="K192" s="67"/>
      <c r="L192" s="67"/>
      <c r="M192" s="67"/>
      <c r="N192" s="67"/>
      <c r="O192" s="67"/>
      <c r="P192" s="81"/>
    </row>
    <row r="193" spans="1:16" ht="10.2" customHeight="1">
      <c r="A193" s="176"/>
      <c r="B193" s="70"/>
      <c r="C193" s="70"/>
      <c r="D193" s="72"/>
      <c r="E193" s="72"/>
      <c r="F193" s="72"/>
      <c r="G193" s="72"/>
      <c r="H193" s="70"/>
      <c r="I193" s="72"/>
      <c r="J193" s="72"/>
      <c r="K193" s="72"/>
      <c r="L193" s="72"/>
      <c r="M193" s="72"/>
      <c r="N193" s="72"/>
      <c r="O193" s="72"/>
      <c r="P193" s="177"/>
    </row>
  </sheetData>
  <mergeCells count="83">
    <mergeCell ref="G13:H13"/>
    <mergeCell ref="D4:E5"/>
    <mergeCell ref="B13:B14"/>
    <mergeCell ref="D13:D14"/>
    <mergeCell ref="E13:E14"/>
    <mergeCell ref="F13:F14"/>
    <mergeCell ref="D37:E37"/>
    <mergeCell ref="B15:G15"/>
    <mergeCell ref="D17:E17"/>
    <mergeCell ref="D19:E19"/>
    <mergeCell ref="B21:G21"/>
    <mergeCell ref="D23:E23"/>
    <mergeCell ref="D25:E25"/>
    <mergeCell ref="D27:E27"/>
    <mergeCell ref="D29:E29"/>
    <mergeCell ref="D31:E31"/>
    <mergeCell ref="D33:E33"/>
    <mergeCell ref="D35:E35"/>
    <mergeCell ref="D59:E59"/>
    <mergeCell ref="D39:E39"/>
    <mergeCell ref="B40:G40"/>
    <mergeCell ref="D42:E42"/>
    <mergeCell ref="D44:E44"/>
    <mergeCell ref="D46:E46"/>
    <mergeCell ref="D48:E48"/>
    <mergeCell ref="D50:E50"/>
    <mergeCell ref="B51:G51"/>
    <mergeCell ref="D53:E53"/>
    <mergeCell ref="D55:E55"/>
    <mergeCell ref="D57:E57"/>
    <mergeCell ref="D82:E82"/>
    <mergeCell ref="D61:E61"/>
    <mergeCell ref="D63:E63"/>
    <mergeCell ref="D65:E65"/>
    <mergeCell ref="D67:E67"/>
    <mergeCell ref="D69:E69"/>
    <mergeCell ref="D71:E71"/>
    <mergeCell ref="D73:E73"/>
    <mergeCell ref="D75:E75"/>
    <mergeCell ref="B76:G76"/>
    <mergeCell ref="D78:E78"/>
    <mergeCell ref="D80:E80"/>
    <mergeCell ref="D105:E105"/>
    <mergeCell ref="D84:E84"/>
    <mergeCell ref="D86:E86"/>
    <mergeCell ref="D88:E88"/>
    <mergeCell ref="D90:E90"/>
    <mergeCell ref="D92:E92"/>
    <mergeCell ref="D94:E94"/>
    <mergeCell ref="D96:E96"/>
    <mergeCell ref="D98:E98"/>
    <mergeCell ref="D100:E100"/>
    <mergeCell ref="B101:G101"/>
    <mergeCell ref="D103:E103"/>
    <mergeCell ref="B128:G128"/>
    <mergeCell ref="D107:E107"/>
    <mergeCell ref="D109:E109"/>
    <mergeCell ref="D111:E111"/>
    <mergeCell ref="D113:E113"/>
    <mergeCell ref="D115:E115"/>
    <mergeCell ref="D117:E117"/>
    <mergeCell ref="D119:E119"/>
    <mergeCell ref="D121:E121"/>
    <mergeCell ref="D123:E123"/>
    <mergeCell ref="D125:E125"/>
    <mergeCell ref="D127:E127"/>
    <mergeCell ref="D152:E152"/>
    <mergeCell ref="D130:E130"/>
    <mergeCell ref="D132:E132"/>
    <mergeCell ref="D134:E134"/>
    <mergeCell ref="D136:E136"/>
    <mergeCell ref="D138:E138"/>
    <mergeCell ref="D140:E140"/>
    <mergeCell ref="D142:E142"/>
    <mergeCell ref="D144:E144"/>
    <mergeCell ref="D146:E146"/>
    <mergeCell ref="D148:E148"/>
    <mergeCell ref="D150:E150"/>
    <mergeCell ref="D154:E154"/>
    <mergeCell ref="B155:G155"/>
    <mergeCell ref="D157:E157"/>
    <mergeCell ref="D159:E159"/>
    <mergeCell ref="B164:G164"/>
  </mergeCells>
  <printOptions/>
  <pageMargins left="0.393701" right="0.393701" top="0.393701" bottom="0.393701" header="0" footer="0"/>
  <pageSetup fitToHeight="1" fitToWidth="1" horizontalDpi="600" verticalDpi="600" orientation="portrait"/>
  <headerFooter>
    <oddFooter>&amp;C&amp;"Arial CE,Regular"&amp;8&amp;K000000Strana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7"/>
  <sheetViews>
    <sheetView showGridLines="0" workbookViewId="0" topLeftCell="A1"/>
  </sheetViews>
  <sheetFormatPr defaultColWidth="9.28125" defaultRowHeight="9.75" customHeight="1"/>
  <cols>
    <col min="1" max="1" width="2.00390625" style="178" customWidth="1"/>
    <col min="2" max="2" width="11.28125" style="178" customWidth="1"/>
    <col min="3" max="3" width="14.7109375" style="178" customWidth="1"/>
    <col min="4" max="4" width="84.421875" style="178" customWidth="1"/>
    <col min="5" max="5" width="11.7109375" style="178" customWidth="1"/>
    <col min="6" max="6" width="18.421875" style="178" customWidth="1"/>
    <col min="7" max="7" width="16.28125" style="178" customWidth="1"/>
    <col min="8" max="8" width="18.421875" style="178" customWidth="1"/>
    <col min="9" max="9" width="5.421875" style="178" customWidth="1"/>
    <col min="10" max="10" width="13.421875" style="178" customWidth="1"/>
    <col min="11" max="11" width="12.28125" style="178" customWidth="1"/>
    <col min="12" max="12" width="8.421875" style="178" customWidth="1"/>
    <col min="13" max="13" width="23.28125" style="178" customWidth="1"/>
    <col min="14" max="14" width="15.00390625" style="178" customWidth="1"/>
    <col min="15" max="15" width="21.28125" style="178" customWidth="1"/>
    <col min="16" max="16" width="18.7109375" style="178" customWidth="1"/>
    <col min="17" max="17" width="17.7109375" style="178" customWidth="1"/>
    <col min="18" max="18" width="16.421875" style="178" customWidth="1"/>
    <col min="19" max="19" width="9.7109375" style="178" customWidth="1"/>
    <col min="20" max="20" width="22.28125" style="178" customWidth="1"/>
    <col min="21" max="21" width="17.28125" style="178" customWidth="1"/>
    <col min="22" max="22" width="13.421875" style="178" customWidth="1"/>
    <col min="23" max="23" width="38.28125" style="178" customWidth="1"/>
    <col min="24" max="24" width="29.7109375" style="178" customWidth="1"/>
    <col min="25" max="25" width="20.7109375" style="178" customWidth="1"/>
    <col min="26" max="26" width="17.28125" style="178" customWidth="1"/>
    <col min="27" max="27" width="15.00390625" style="178" customWidth="1"/>
    <col min="28" max="28" width="24.7109375" style="178" customWidth="1"/>
    <col min="29" max="29" width="17.00390625" style="178" customWidth="1"/>
    <col min="30" max="30" width="20.421875" style="178" customWidth="1"/>
    <col min="31" max="31" width="25.7109375" style="178" customWidth="1"/>
    <col min="32" max="32" width="21.421875" style="178" customWidth="1"/>
    <col min="33" max="40" width="9.28125" style="178" customWidth="1"/>
    <col min="41" max="16384" width="9.28125" style="178" customWidth="1"/>
  </cols>
  <sheetData>
    <row r="1" spans="1:40" ht="10.2" customHeight="1">
      <c r="A1" s="2"/>
      <c r="B1" s="3"/>
      <c r="C1" s="3"/>
      <c r="D1" s="3"/>
      <c r="E1" s="4"/>
      <c r="F1" s="4"/>
      <c r="G1" s="4"/>
      <c r="H1" s="4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80"/>
    </row>
    <row r="2" spans="1:40" ht="24.9" customHeight="1">
      <c r="A2" s="77"/>
      <c r="B2" s="9" t="s">
        <v>0</v>
      </c>
      <c r="C2" s="78"/>
      <c r="D2" s="79"/>
      <c r="E2" s="11"/>
      <c r="F2" s="12"/>
      <c r="G2" s="12"/>
      <c r="H2" s="12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2"/>
    </row>
    <row r="3" spans="1:40" ht="8" customHeight="1">
      <c r="A3" s="77"/>
      <c r="B3" s="16"/>
      <c r="C3" s="16"/>
      <c r="D3" s="79"/>
      <c r="E3" s="11"/>
      <c r="F3" s="12"/>
      <c r="G3" s="12"/>
      <c r="H3" s="12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2"/>
    </row>
    <row r="4" spans="1:40" ht="12" customHeight="1">
      <c r="A4" s="77"/>
      <c r="B4" s="17" t="s">
        <v>1</v>
      </c>
      <c r="C4" s="22"/>
      <c r="D4" s="18" t="s">
        <f>SOUHRN!C4</f>
        <v>21</v>
      </c>
      <c r="E4" s="19"/>
      <c r="F4" s="20"/>
      <c r="G4" s="21"/>
      <c r="H4" s="2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2"/>
    </row>
    <row r="5" spans="1:40" ht="16.5" customHeight="1">
      <c r="A5" s="77"/>
      <c r="B5" s="22"/>
      <c r="C5" s="22"/>
      <c r="D5" s="19"/>
      <c r="E5" s="19"/>
      <c r="F5" s="20"/>
      <c r="G5" s="21"/>
      <c r="H5" s="2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2"/>
    </row>
    <row r="6" spans="1:40" ht="16.5" customHeight="1">
      <c r="A6" s="77"/>
      <c r="B6" s="17" t="s">
        <v>3</v>
      </c>
      <c r="C6" s="22"/>
      <c r="D6" s="18" t="s">
        <f>SOUHRN!C7</f>
        <v>22</v>
      </c>
      <c r="E6" s="19"/>
      <c r="F6" s="20"/>
      <c r="G6" s="21"/>
      <c r="H6" s="2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2"/>
    </row>
    <row r="7" spans="1:40" ht="13.2" customHeight="1">
      <c r="A7" s="77"/>
      <c r="B7" s="22"/>
      <c r="C7" s="22"/>
      <c r="D7" s="24"/>
      <c r="E7" s="25"/>
      <c r="F7" s="21"/>
      <c r="G7" s="21"/>
      <c r="H7" s="2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2"/>
    </row>
    <row r="8" spans="1:40" ht="13.2" customHeight="1">
      <c r="A8" s="77"/>
      <c r="B8" s="17" t="s">
        <v>5</v>
      </c>
      <c r="C8" s="22"/>
      <c r="D8" s="183" t="s">
        <f>SOUHRN!C10</f>
        <v>158</v>
      </c>
      <c r="E8" s="25"/>
      <c r="F8" s="26" t="s">
        <v>7</v>
      </c>
      <c r="G8" s="27">
        <f>SOUHRN!G10</f>
      </c>
      <c r="H8" s="2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</row>
    <row r="9" spans="1:40" ht="13.2" customHeight="1">
      <c r="A9" s="77"/>
      <c r="B9" s="22"/>
      <c r="C9" s="22"/>
      <c r="D9" s="24"/>
      <c r="E9" s="25"/>
      <c r="F9" s="21"/>
      <c r="G9" s="21"/>
      <c r="H9" s="21"/>
      <c r="I9" s="181"/>
      <c r="J9" s="181"/>
      <c r="K9" s="181"/>
      <c r="L9" s="181"/>
      <c r="M9" s="181"/>
      <c r="N9" s="181"/>
      <c r="O9" s="181"/>
      <c r="P9" s="184">
        <f>(6.5+6+6+8+5+5)*(1*1.5*0.5)</f>
        <v>27.375</v>
      </c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</row>
    <row r="10" spans="1:40" ht="15.15" customHeight="1">
      <c r="A10" s="77"/>
      <c r="B10" s="17" t="s">
        <v>8</v>
      </c>
      <c r="C10" s="22"/>
      <c r="D10" s="183" t="s">
        <f>SOUHRN!C12</f>
        <v>159</v>
      </c>
      <c r="E10" s="25"/>
      <c r="F10" s="26" t="s">
        <v>10</v>
      </c>
      <c r="G10" s="20"/>
      <c r="H10" s="2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</row>
    <row r="11" spans="1:40" ht="15.15" customHeight="1">
      <c r="A11" s="77"/>
      <c r="B11" s="22"/>
      <c r="C11" s="22"/>
      <c r="D11" s="24"/>
      <c r="E11" s="25"/>
      <c r="F11" s="30"/>
      <c r="G11" s="20"/>
      <c r="H11" s="2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2"/>
    </row>
    <row r="12" spans="1:40" ht="15.15" customHeight="1">
      <c r="A12" s="77"/>
      <c r="B12" s="17" t="s">
        <v>11</v>
      </c>
      <c r="C12" s="22"/>
      <c r="D12" s="185">
        <f>SOUHRN!C14</f>
        <v>0</v>
      </c>
      <c r="E12" s="25"/>
      <c r="F12" s="26" t="s">
        <v>12</v>
      </c>
      <c r="G12" s="20"/>
      <c r="H12" s="2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2"/>
    </row>
    <row r="13" spans="1:40" ht="13.8" customHeight="1">
      <c r="A13" s="77"/>
      <c r="B13" s="32"/>
      <c r="C13" s="32"/>
      <c r="D13" s="83"/>
      <c r="E13" s="34"/>
      <c r="F13" s="35"/>
      <c r="G13" s="35"/>
      <c r="H13" s="35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2"/>
    </row>
    <row r="14" spans="1:40" ht="25.95" customHeight="1">
      <c r="A14" s="36"/>
      <c r="B14" s="186" t="s">
        <v>23</v>
      </c>
      <c r="C14" s="187" t="s">
        <v>24</v>
      </c>
      <c r="D14" s="188" t="s">
        <v>25</v>
      </c>
      <c r="E14" s="188" t="s">
        <v>26</v>
      </c>
      <c r="F14" s="188" t="s">
        <v>27</v>
      </c>
      <c r="G14" s="189" t="s">
        <v>28</v>
      </c>
      <c r="H14" s="190"/>
      <c r="I14" s="191"/>
      <c r="J14" s="192" t="s">
        <v>160</v>
      </c>
      <c r="K14" s="192" t="s">
        <v>161</v>
      </c>
      <c r="L14" s="192" t="s">
        <v>162</v>
      </c>
      <c r="M14" s="192" t="s">
        <v>163</v>
      </c>
      <c r="N14" s="192" t="s">
        <v>164</v>
      </c>
      <c r="O14" s="192" t="s">
        <v>165</v>
      </c>
      <c r="P14" s="192" t="s">
        <v>166</v>
      </c>
      <c r="Q14" s="192" t="s">
        <v>167</v>
      </c>
      <c r="R14" s="192" t="s">
        <v>168</v>
      </c>
      <c r="S14" s="192" t="s">
        <v>169</v>
      </c>
      <c r="T14" s="192" t="s">
        <v>170</v>
      </c>
      <c r="U14" s="193" t="s">
        <v>171</v>
      </c>
      <c r="V14" s="192" t="s">
        <v>172</v>
      </c>
      <c r="W14" s="192" t="s">
        <v>173</v>
      </c>
      <c r="X14" s="192" t="s">
        <v>174</v>
      </c>
      <c r="Y14" s="192" t="s">
        <v>175</v>
      </c>
      <c r="Z14" s="192" t="s">
        <v>176</v>
      </c>
      <c r="AA14" s="192" t="s">
        <v>177</v>
      </c>
      <c r="AB14" s="192" t="s">
        <v>178</v>
      </c>
      <c r="AC14" s="192" t="s">
        <v>179</v>
      </c>
      <c r="AD14" s="194"/>
      <c r="AE14" s="192" t="s">
        <v>180</v>
      </c>
      <c r="AF14" s="181"/>
      <c r="AG14" s="181"/>
      <c r="AH14" s="181"/>
      <c r="AI14" s="181"/>
      <c r="AJ14" s="181"/>
      <c r="AK14" s="181"/>
      <c r="AL14" s="181"/>
      <c r="AM14" s="181"/>
      <c r="AN14" s="182"/>
    </row>
    <row r="15" spans="1:40" ht="22.95" customHeight="1">
      <c r="A15" s="36"/>
      <c r="B15" s="195"/>
      <c r="C15" s="196" t="s">
        <v>29</v>
      </c>
      <c r="D15" s="197"/>
      <c r="E15" s="198"/>
      <c r="F15" s="198"/>
      <c r="G15" s="196" t="s">
        <v>30</v>
      </c>
      <c r="H15" s="199" t="s">
        <v>31</v>
      </c>
      <c r="I15" s="200">
        <f>SUM(M15:M20)</f>
        <v>456</v>
      </c>
      <c r="J15" s="201">
        <v>80</v>
      </c>
      <c r="K15" s="201">
        <v>1.3</v>
      </c>
      <c r="L15" s="201">
        <f>CEILING((28*3),1)</f>
        <v>84</v>
      </c>
      <c r="M15" s="201">
        <f>CEILING(L15*K15,1)</f>
        <v>110</v>
      </c>
      <c r="N15" s="194"/>
      <c r="O15" s="201">
        <v>100</v>
      </c>
      <c r="P15" s="201">
        <f>CEILING(M15*(O15/100),1)</f>
        <v>110</v>
      </c>
      <c r="Q15" s="201">
        <v>0.3</v>
      </c>
      <c r="R15" s="201">
        <f>CEILING(M15*Q15,0.5)</f>
        <v>33</v>
      </c>
      <c r="S15" s="201">
        <f>8*3*0.5</f>
        <v>12</v>
      </c>
      <c r="T15" s="201">
        <v>0</v>
      </c>
      <c r="U15" s="202">
        <f>R15+S15+T15</f>
        <v>45</v>
      </c>
      <c r="V15" s="192" t="s">
        <v>181</v>
      </c>
      <c r="W15" s="201">
        <f>M15</f>
        <v>110</v>
      </c>
      <c r="X15" s="192" t="s">
        <v>182</v>
      </c>
      <c r="Y15" s="192" t="s">
        <v>183</v>
      </c>
      <c r="Z15" s="201">
        <f>CEILING((L15/3.5)+(L15*0.01),1)</f>
        <v>25</v>
      </c>
      <c r="AA15" s="201">
        <v>14</v>
      </c>
      <c r="AB15" s="192" t="s">
        <v>184</v>
      </c>
      <c r="AC15" s="192" t="s">
        <v>184</v>
      </c>
      <c r="AD15" s="194"/>
      <c r="AE15" s="192" t="s">
        <v>185</v>
      </c>
      <c r="AF15" s="181"/>
      <c r="AG15" s="181"/>
      <c r="AH15" s="181"/>
      <c r="AI15" s="181"/>
      <c r="AJ15" s="181"/>
      <c r="AK15" s="181"/>
      <c r="AL15" s="181"/>
      <c r="AM15" s="181"/>
      <c r="AN15" s="182"/>
    </row>
    <row r="16" spans="1:40" ht="13.95" customHeight="1">
      <c r="A16" s="36"/>
      <c r="B16" s="203" t="s">
        <v>32</v>
      </c>
      <c r="C16" s="204"/>
      <c r="D16" s="204"/>
      <c r="E16" s="204"/>
      <c r="F16" s="204"/>
      <c r="G16" s="204"/>
      <c r="H16" s="205">
        <f>SUM(H17:H19)</f>
        <v>0</v>
      </c>
      <c r="I16" s="200">
        <f>SUM(P15:P20)</f>
        <v>291</v>
      </c>
      <c r="J16" s="201">
        <v>80</v>
      </c>
      <c r="K16" s="201">
        <v>1.3</v>
      </c>
      <c r="L16" s="201">
        <f>CEILING((4*22.5)+(4*7.5*0.5),1)</f>
        <v>105</v>
      </c>
      <c r="M16" s="201">
        <f>CEILING(L16*K16,1)</f>
        <v>137</v>
      </c>
      <c r="N16" s="194"/>
      <c r="O16" s="201">
        <v>100</v>
      </c>
      <c r="P16" s="201">
        <f>CEILING(M16*(O16/100),1)</f>
        <v>137</v>
      </c>
      <c r="Q16" s="201">
        <v>0.3</v>
      </c>
      <c r="R16" s="201">
        <f>CEILING(M16*Q16,0.5)</f>
        <v>41.5</v>
      </c>
      <c r="S16" s="206">
        <v>27</v>
      </c>
      <c r="T16" s="201">
        <v>0</v>
      </c>
      <c r="U16" s="202">
        <f>R16+S16+T16</f>
        <v>68.5</v>
      </c>
      <c r="V16" s="192" t="s">
        <v>181</v>
      </c>
      <c r="W16" s="201">
        <f>M16</f>
        <v>137</v>
      </c>
      <c r="X16" s="192" t="s">
        <v>186</v>
      </c>
      <c r="Y16" s="192" t="s">
        <v>183</v>
      </c>
      <c r="Z16" s="201">
        <f>CEILING((L16/3.5)+(L16*0.01),1)</f>
        <v>32</v>
      </c>
      <c r="AA16" s="201">
        <v>6.5</v>
      </c>
      <c r="AB16" s="192" t="s">
        <v>187</v>
      </c>
      <c r="AC16" s="201">
        <v>6.5</v>
      </c>
      <c r="AD16" s="192" t="s">
        <v>64</v>
      </c>
      <c r="AE16" s="192" t="s">
        <v>188</v>
      </c>
      <c r="AF16" s="181"/>
      <c r="AG16" s="181"/>
      <c r="AH16" s="181"/>
      <c r="AI16" s="181"/>
      <c r="AJ16" s="181"/>
      <c r="AK16" s="181"/>
      <c r="AL16" s="181"/>
      <c r="AM16" s="181"/>
      <c r="AN16" s="182"/>
    </row>
    <row r="17" spans="1:40" ht="13.2" customHeight="1">
      <c r="A17" s="97"/>
      <c r="B17" s="207">
        <v>1</v>
      </c>
      <c r="C17" s="208" t="s">
        <v>189</v>
      </c>
      <c r="D17" s="209" t="s">
        <v>190</v>
      </c>
      <c r="E17" s="208" t="s">
        <v>49</v>
      </c>
      <c r="F17" s="210">
        <f>40/8</f>
        <v>5</v>
      </c>
      <c r="G17" s="211">
        <v>0</v>
      </c>
      <c r="H17" s="212">
        <f>F17*G17</f>
        <v>0</v>
      </c>
      <c r="I17" s="213"/>
      <c r="J17" s="214">
        <v>80</v>
      </c>
      <c r="K17" s="214">
        <v>1.3</v>
      </c>
      <c r="L17" s="214">
        <f>CEILING((2*15)+(2*7.5*0.5),1)</f>
        <v>38</v>
      </c>
      <c r="M17" s="214">
        <f>CEILING(L17*K17,1)</f>
        <v>50</v>
      </c>
      <c r="N17" s="215"/>
      <c r="O17" s="214">
        <v>20</v>
      </c>
      <c r="P17" s="214">
        <f>CEILING(M17*(O17/100),1)</f>
        <v>10</v>
      </c>
      <c r="Q17" s="214">
        <v>0.3</v>
      </c>
      <c r="R17" s="214">
        <f>CEILING(M17*Q17,0.5)</f>
        <v>15</v>
      </c>
      <c r="S17" s="216"/>
      <c r="T17" s="214">
        <v>0</v>
      </c>
      <c r="U17" s="217">
        <f>R17+S17+T17</f>
      </c>
      <c r="V17" s="218" t="s">
        <v>181</v>
      </c>
      <c r="W17" s="214">
        <f>M17</f>
        <v>50</v>
      </c>
      <c r="X17" s="218" t="s">
        <v>182</v>
      </c>
      <c r="Y17" s="218" t="s">
        <v>183</v>
      </c>
      <c r="Z17" s="214">
        <f>CEILING((L17/3.5)+(L17*0.01),1)</f>
        <v>12</v>
      </c>
      <c r="AA17" s="214">
        <v>6.5</v>
      </c>
      <c r="AB17" s="218" t="s">
        <v>184</v>
      </c>
      <c r="AC17" s="218" t="s">
        <v>184</v>
      </c>
      <c r="AD17" s="215"/>
      <c r="AE17" s="218" t="s">
        <v>188</v>
      </c>
      <c r="AF17" s="219"/>
      <c r="AG17" s="219"/>
      <c r="AH17" s="219"/>
      <c r="AI17" s="219"/>
      <c r="AJ17" s="219"/>
      <c r="AK17" s="219"/>
      <c r="AL17" s="219"/>
      <c r="AM17" s="219"/>
      <c r="AN17" s="220"/>
    </row>
    <row r="18" spans="1:40" ht="26.4" customHeight="1">
      <c r="A18" s="97"/>
      <c r="B18" s="221">
        <f>B17+1</f>
        <v>2</v>
      </c>
      <c r="C18" s="222" t="s">
        <v>33</v>
      </c>
      <c r="D18" s="223" t="s">
        <v>191</v>
      </c>
      <c r="E18" s="222" t="s">
        <v>192</v>
      </c>
      <c r="F18" s="224">
        <v>1</v>
      </c>
      <c r="G18" s="225">
        <v>0</v>
      </c>
      <c r="H18" s="226">
        <v>0</v>
      </c>
      <c r="I18" s="227"/>
      <c r="J18" s="214">
        <v>80</v>
      </c>
      <c r="K18" s="214">
        <v>1.3</v>
      </c>
      <c r="L18" s="214">
        <f>CEILING((12*4)+(4*3*0.5),1)</f>
        <v>54</v>
      </c>
      <c r="M18" s="214">
        <f>CEILING(L18*K18,1)</f>
        <v>71</v>
      </c>
      <c r="N18" s="215"/>
      <c r="O18" s="214">
        <v>20</v>
      </c>
      <c r="P18" s="214">
        <f>CEILING(M18*(O18/100),1)</f>
        <v>15</v>
      </c>
      <c r="Q18" s="214">
        <v>0.3</v>
      </c>
      <c r="R18" s="214">
        <f>CEILING((M18-(5.5*9))*Q18,0.5)</f>
        <v>6.5</v>
      </c>
      <c r="S18" s="216"/>
      <c r="T18" s="214">
        <v>0</v>
      </c>
      <c r="U18" s="217">
        <f>R18+S18+T18</f>
      </c>
      <c r="V18" s="218" t="s">
        <v>181</v>
      </c>
      <c r="W18" s="214">
        <f>M18</f>
        <v>71</v>
      </c>
      <c r="X18" s="218" t="s">
        <v>182</v>
      </c>
      <c r="Y18" s="218" t="s">
        <v>183</v>
      </c>
      <c r="Z18" s="214">
        <f>CEILING((L18/3.5)+(L18*0.01),1)</f>
        <v>16</v>
      </c>
      <c r="AA18" s="214">
        <f>CEILING((5+6+5.5),1)</f>
        <v>17</v>
      </c>
      <c r="AB18" s="218" t="s">
        <v>184</v>
      </c>
      <c r="AC18" s="218" t="s">
        <v>184</v>
      </c>
      <c r="AD18" s="215"/>
      <c r="AE18" s="218" t="s">
        <v>188</v>
      </c>
      <c r="AF18" s="228"/>
      <c r="AG18" s="228"/>
      <c r="AH18" s="228"/>
      <c r="AI18" s="228"/>
      <c r="AJ18" s="228"/>
      <c r="AK18" s="228"/>
      <c r="AL18" s="228"/>
      <c r="AM18" s="228"/>
      <c r="AN18" s="229"/>
    </row>
    <row r="19" spans="1:40" ht="16.2" customHeight="1">
      <c r="A19" s="97"/>
      <c r="B19" s="230">
        <f>B18+1</f>
        <v>3</v>
      </c>
      <c r="C19" s="231" t="s">
        <v>37</v>
      </c>
      <c r="D19" s="232" t="s">
        <v>193</v>
      </c>
      <c r="E19" s="231" t="s">
        <v>194</v>
      </c>
      <c r="F19" s="233">
        <v>20</v>
      </c>
      <c r="G19" s="234">
        <v>0</v>
      </c>
      <c r="H19" s="235">
        <v>0</v>
      </c>
      <c r="I19" s="236"/>
      <c r="J19" s="237">
        <v>80</v>
      </c>
      <c r="K19" s="237">
        <v>1.3</v>
      </c>
      <c r="L19" s="237">
        <f>CEILING((10.5*3.5)+(3.5*1.5*0.5),1)</f>
        <v>40</v>
      </c>
      <c r="M19" s="237">
        <f>CEILING(L19*K19,1)</f>
        <v>52</v>
      </c>
      <c r="N19" s="238"/>
      <c r="O19" s="237">
        <v>20</v>
      </c>
      <c r="P19" s="237">
        <f>CEILING(M19*(O19/100),1)</f>
        <v>11</v>
      </c>
      <c r="Q19" s="237">
        <v>0.3</v>
      </c>
      <c r="R19" s="237">
        <f>CEILING(((M19-6*4)*Q19)+(14.5*1*1),0.5)</f>
        <v>23</v>
      </c>
      <c r="S19" s="216"/>
      <c r="T19" s="237">
        <v>0</v>
      </c>
      <c r="U19" s="239">
        <f>R19+S19+T19</f>
      </c>
      <c r="V19" s="240" t="s">
        <v>181</v>
      </c>
      <c r="W19" s="237">
        <f>M19</f>
        <v>52</v>
      </c>
      <c r="X19" s="240" t="s">
        <v>182</v>
      </c>
      <c r="Y19" s="240" t="s">
        <v>183</v>
      </c>
      <c r="Z19" s="237">
        <f>CEILING((L19/3.5)+(L19*0.01),1)</f>
        <v>12</v>
      </c>
      <c r="AA19" s="237">
        <f>CEILING((3+4+5.5+5.5+4+7+2.5+5.5),1)</f>
        <v>37</v>
      </c>
      <c r="AB19" s="240" t="s">
        <v>184</v>
      </c>
      <c r="AC19" s="240" t="s">
        <v>184</v>
      </c>
      <c r="AD19" s="238"/>
      <c r="AE19" s="240" t="s">
        <v>195</v>
      </c>
      <c r="AF19" s="238"/>
      <c r="AG19" s="238"/>
      <c r="AH19" s="238"/>
      <c r="AI19" s="238"/>
      <c r="AJ19" s="238"/>
      <c r="AK19" s="238"/>
      <c r="AL19" s="238"/>
      <c r="AM19" s="238"/>
      <c r="AN19" s="241"/>
    </row>
    <row r="20" spans="1:40" ht="14.4" customHeight="1">
      <c r="A20" s="97"/>
      <c r="B20" s="203" t="s">
        <v>196</v>
      </c>
      <c r="C20" s="204"/>
      <c r="D20" s="204"/>
      <c r="E20" s="204"/>
      <c r="F20" s="204"/>
      <c r="G20" s="204"/>
      <c r="H20" s="205">
        <f>SUM(H21:H33)</f>
        <v>0</v>
      </c>
      <c r="I20" s="213"/>
      <c r="J20" s="201">
        <v>80</v>
      </c>
      <c r="K20" s="201">
        <v>1.3</v>
      </c>
      <c r="L20" s="201">
        <f>CEILING(10.5*5*0.5,1)</f>
        <v>27</v>
      </c>
      <c r="M20" s="201">
        <f>CEILING(L20*K20,1)</f>
        <v>36</v>
      </c>
      <c r="N20" s="194"/>
      <c r="O20" s="201">
        <v>20</v>
      </c>
      <c r="P20" s="201">
        <f>CEILING(M20*(O20/100),1)</f>
        <v>8</v>
      </c>
      <c r="Q20" s="201">
        <v>0.3</v>
      </c>
      <c r="R20" s="201">
        <f>CEILING(M20*Q20,0.5)</f>
        <v>11</v>
      </c>
      <c r="S20" s="242"/>
      <c r="T20" s="201">
        <v>0</v>
      </c>
      <c r="U20" s="243">
        <f>R20+S20+T20</f>
      </c>
      <c r="V20" s="192" t="s">
        <v>181</v>
      </c>
      <c r="W20" s="201">
        <f>M20</f>
        <v>36</v>
      </c>
      <c r="X20" s="192" t="s">
        <v>182</v>
      </c>
      <c r="Y20" s="192" t="s">
        <v>183</v>
      </c>
      <c r="Z20" s="201">
        <f>CEILING((W20/3.5)+(L20*0.01),1)</f>
        <v>11</v>
      </c>
      <c r="AA20" s="201">
        <f>CEILING(2.5+4+6,1)</f>
        <v>13</v>
      </c>
      <c r="AB20" s="192" t="s">
        <v>197</v>
      </c>
      <c r="AC20" s="201">
        <f>CEILING((3*2.1*1.7),0.1)+CEILING((1.8*1.2*1),0.1)</f>
        <v>13</v>
      </c>
      <c r="AD20" s="192" t="s">
        <v>198</v>
      </c>
      <c r="AE20" s="192" t="s">
        <v>188</v>
      </c>
      <c r="AF20" s="219"/>
      <c r="AG20" s="219"/>
      <c r="AH20" s="219"/>
      <c r="AI20" s="219"/>
      <c r="AJ20" s="219"/>
      <c r="AK20" s="219"/>
      <c r="AL20" s="219"/>
      <c r="AM20" s="219"/>
      <c r="AN20" s="220"/>
    </row>
    <row r="21" spans="1:40" ht="26.4" customHeight="1">
      <c r="A21" s="97"/>
      <c r="B21" s="244">
        <f>B19+1</f>
        <v>4</v>
      </c>
      <c r="C21" s="245">
        <v>155211112</v>
      </c>
      <c r="D21" s="209" t="s">
        <v>199</v>
      </c>
      <c r="E21" s="208" t="s">
        <v>194</v>
      </c>
      <c r="F21" s="210">
        <f>SUM(F22:F22)</f>
        <v>422</v>
      </c>
      <c r="G21" s="211">
        <v>0</v>
      </c>
      <c r="H21" s="212">
        <f>F21*G21</f>
        <v>0</v>
      </c>
      <c r="I21" s="246">
        <f>SUM(M21:M25)</f>
        <v>163</v>
      </c>
      <c r="J21" s="214">
        <v>40</v>
      </c>
      <c r="K21" s="214">
        <v>1.1</v>
      </c>
      <c r="L21" s="214">
        <f>CEILING((7*8)+(7*1*0.5),1)</f>
        <v>60</v>
      </c>
      <c r="M21" s="214">
        <f>CEILING(L21*K21,1)</f>
        <v>66</v>
      </c>
      <c r="N21" s="215"/>
      <c r="O21" s="214">
        <v>100</v>
      </c>
      <c r="P21" s="214">
        <f>CEILING(M21*(O21/100),1)</f>
        <v>66</v>
      </c>
      <c r="Q21" s="214">
        <v>0.1</v>
      </c>
      <c r="R21" s="214">
        <f>CEILING(M21*Q21,0.5)</f>
        <v>7</v>
      </c>
      <c r="S21" s="215"/>
      <c r="T21" s="215"/>
      <c r="U21" s="247">
        <f>R21+S21+T21</f>
        <v>7</v>
      </c>
      <c r="V21" s="218" t="s">
        <v>181</v>
      </c>
      <c r="W21" s="214">
        <f>M21</f>
        <v>66</v>
      </c>
      <c r="X21" s="218" t="s">
        <v>182</v>
      </c>
      <c r="Y21" s="218" t="s">
        <v>183</v>
      </c>
      <c r="Z21" s="214">
        <f>CEILING((L21/3.5)+(L21*0.01),1)</f>
        <v>18</v>
      </c>
      <c r="AA21" s="214">
        <f>CEILING((3+3.5+2.5+4+2.5+4.5),1)</f>
        <v>20</v>
      </c>
      <c r="AB21" s="218" t="s">
        <v>184</v>
      </c>
      <c r="AC21" s="218" t="s">
        <v>184</v>
      </c>
      <c r="AD21" s="215"/>
      <c r="AE21" s="218" t="s">
        <v>188</v>
      </c>
      <c r="AF21" s="228"/>
      <c r="AG21" s="228"/>
      <c r="AH21" s="228"/>
      <c r="AI21" s="228"/>
      <c r="AJ21" s="228"/>
      <c r="AK21" s="228"/>
      <c r="AL21" s="228"/>
      <c r="AM21" s="228"/>
      <c r="AN21" s="229"/>
    </row>
    <row r="22" spans="1:40" ht="38.4" customHeight="1">
      <c r="A22" s="97"/>
      <c r="B22" s="248"/>
      <c r="C22" s="249"/>
      <c r="D22" s="250" t="s">
        <v>200</v>
      </c>
      <c r="E22" s="249"/>
      <c r="F22" s="251">
        <f>CEILING((84*1.3*1),1)+CEILING((105*1.3*1),1)+CEILING((38*1.3*0.2),1)+CEILING((54*1.3*0.2),1)+CEILING((40*1.3*0.2),1)+CEILING((27*1.3*0.2),1)+CEILING((60*1.1*1),1)+CEILING((18*1.1*1),1)+CEILING((33*1.1*1),1)+CEILING((18*1.1*0.2),1)+CEILING((18*1.1*0.2),1)</f>
        <v>422</v>
      </c>
      <c r="G22" s="252"/>
      <c r="H22" s="253"/>
      <c r="I22" s="254">
        <f>SUM(P21:P25)</f>
        <v>131</v>
      </c>
      <c r="J22" s="201">
        <v>40</v>
      </c>
      <c r="K22" s="201">
        <v>1.1</v>
      </c>
      <c r="L22" s="201">
        <f>CEILING((2*9),1)</f>
        <v>18</v>
      </c>
      <c r="M22" s="201">
        <f>CEILING(L22*K22,1)</f>
        <v>20</v>
      </c>
      <c r="N22" s="194"/>
      <c r="O22" s="201">
        <v>100</v>
      </c>
      <c r="P22" s="201">
        <f>CEILING(M22*(O22/100),1)</f>
        <v>20</v>
      </c>
      <c r="Q22" s="201">
        <v>0.1</v>
      </c>
      <c r="R22" s="201">
        <f>CEILING(M22*Q22,0.5)</f>
        <v>2</v>
      </c>
      <c r="S22" s="194"/>
      <c r="T22" s="194"/>
      <c r="U22" s="243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255"/>
      <c r="AG22" s="255"/>
      <c r="AH22" s="255"/>
      <c r="AI22" s="255"/>
      <c r="AJ22" s="255"/>
      <c r="AK22" s="255"/>
      <c r="AL22" s="255"/>
      <c r="AM22" s="255"/>
      <c r="AN22" s="256"/>
    </row>
    <row r="23" spans="1:40" ht="27.6" customHeight="1">
      <c r="A23" s="97"/>
      <c r="B23" s="257">
        <f>B21+1</f>
        <v>5</v>
      </c>
      <c r="C23" s="258">
        <v>111251111</v>
      </c>
      <c r="D23" s="223" t="s">
        <v>45</v>
      </c>
      <c r="E23" s="222" t="s">
        <v>201</v>
      </c>
      <c r="F23" s="224">
        <f>F24</f>
        <v>4.3</v>
      </c>
      <c r="G23" s="225">
        <v>0</v>
      </c>
      <c r="H23" s="226">
        <f>F23*G23</f>
        <v>0</v>
      </c>
      <c r="I23" s="236"/>
      <c r="J23" s="237">
        <v>40</v>
      </c>
      <c r="K23" s="237">
        <v>1.1</v>
      </c>
      <c r="L23" s="237">
        <f>CEILING((7.5*4)+(4*1.5*0.5),1)</f>
        <v>33</v>
      </c>
      <c r="M23" s="237">
        <f>CEILING(L23*K23,1)</f>
        <v>37</v>
      </c>
      <c r="N23" s="238"/>
      <c r="O23" s="237">
        <v>100</v>
      </c>
      <c r="P23" s="237">
        <f>CEILING(M23*(O23/100),1)</f>
        <v>37</v>
      </c>
      <c r="Q23" s="237">
        <v>0.2</v>
      </c>
      <c r="R23" s="237">
        <f>CEILING(M23*Q23,0.5)</f>
        <v>7.5</v>
      </c>
      <c r="S23" s="238"/>
      <c r="T23" s="238"/>
      <c r="U23" s="239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41"/>
    </row>
    <row r="24" spans="1:40" ht="13.2" customHeight="1">
      <c r="A24" s="97"/>
      <c r="B24" s="248"/>
      <c r="C24" s="249"/>
      <c r="D24" s="250" t="s">
        <v>202</v>
      </c>
      <c r="E24" s="249"/>
      <c r="F24" s="251">
        <f>CEILING(F21*0.01,0.1)</f>
        <v>4.3</v>
      </c>
      <c r="G24" s="252"/>
      <c r="H24" s="253"/>
      <c r="I24" s="213"/>
      <c r="J24" s="201">
        <v>40</v>
      </c>
      <c r="K24" s="201">
        <v>1.1</v>
      </c>
      <c r="L24" s="201">
        <f>CEILING((3.5*5),1)</f>
        <v>18</v>
      </c>
      <c r="M24" s="201">
        <f>CEILING(L24*K24,1)</f>
        <v>20</v>
      </c>
      <c r="N24" s="194"/>
      <c r="O24" s="201">
        <v>20</v>
      </c>
      <c r="P24" s="201">
        <f>CEILING(M24*(O24/100),1)</f>
        <v>4</v>
      </c>
      <c r="Q24" s="201">
        <v>0.2</v>
      </c>
      <c r="R24" s="201">
        <f>CEILING(M24*Q24,0.5)</f>
        <v>4</v>
      </c>
      <c r="S24" s="194"/>
      <c r="T24" s="194"/>
      <c r="U24" s="243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255"/>
      <c r="AG24" s="255"/>
      <c r="AH24" s="255"/>
      <c r="AI24" s="255"/>
      <c r="AJ24" s="255"/>
      <c r="AK24" s="255"/>
      <c r="AL24" s="255"/>
      <c r="AM24" s="255"/>
      <c r="AN24" s="256"/>
    </row>
    <row r="25" spans="1:40" ht="13.2" customHeight="1">
      <c r="A25" s="97"/>
      <c r="B25" s="257">
        <f>B23+1</f>
        <v>6</v>
      </c>
      <c r="C25" s="258">
        <v>112151352</v>
      </c>
      <c r="D25" s="223" t="s">
        <v>19</v>
      </c>
      <c r="E25" s="222" t="s">
        <v>49</v>
      </c>
      <c r="F25" s="224">
        <f>SUM(F26:F26)</f>
        <v>15</v>
      </c>
      <c r="G25" s="225">
        <v>0</v>
      </c>
      <c r="H25" s="226">
        <f>F25*G25</f>
        <v>0</v>
      </c>
      <c r="I25" s="236"/>
      <c r="J25" s="237">
        <v>40</v>
      </c>
      <c r="K25" s="237">
        <v>1.1</v>
      </c>
      <c r="L25" s="237">
        <f>CEILING((5*3.5),1)</f>
        <v>18</v>
      </c>
      <c r="M25" s="237">
        <f>CEILING(L25*K25,1)</f>
        <v>20</v>
      </c>
      <c r="N25" s="238"/>
      <c r="O25" s="237">
        <v>20</v>
      </c>
      <c r="P25" s="237">
        <f>CEILING(M25*(O25/100),1)</f>
        <v>4</v>
      </c>
      <c r="Q25" s="237">
        <v>0.2</v>
      </c>
      <c r="R25" s="237">
        <f>CEILING(M25*Q25,0.5)</f>
        <v>4</v>
      </c>
      <c r="S25" s="240" t="s">
        <v>203</v>
      </c>
      <c r="T25" s="238"/>
      <c r="U25" s="239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41"/>
    </row>
    <row r="26" spans="1:40" ht="13.2" customHeight="1">
      <c r="A26" s="97"/>
      <c r="B26" s="259"/>
      <c r="C26" s="249"/>
      <c r="D26" s="250" t="s">
        <v>50</v>
      </c>
      <c r="E26" s="249"/>
      <c r="F26" s="251">
        <v>15</v>
      </c>
      <c r="G26" s="252"/>
      <c r="H26" s="253"/>
      <c r="I26" s="254">
        <f>SUM(M26:M29)</f>
        <v>127</v>
      </c>
      <c r="J26" s="201">
        <v>35</v>
      </c>
      <c r="K26" s="201">
        <v>1</v>
      </c>
      <c r="L26" s="201">
        <f>CEILING((4.5*4)+(4*1.5*0.5),1)</f>
        <v>21</v>
      </c>
      <c r="M26" s="201">
        <f>CEILING(L26*K26,1)</f>
        <v>21</v>
      </c>
      <c r="N26" s="194"/>
      <c r="O26" s="194"/>
      <c r="P26" s="194"/>
      <c r="Q26" s="194"/>
      <c r="R26" s="194"/>
      <c r="S26" s="194"/>
      <c r="T26" s="194"/>
      <c r="U26" s="243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255"/>
      <c r="AG26" s="219"/>
      <c r="AH26" s="219"/>
      <c r="AI26" s="219"/>
      <c r="AJ26" s="219"/>
      <c r="AK26" s="255"/>
      <c r="AL26" s="255"/>
      <c r="AM26" s="255"/>
      <c r="AN26" s="256"/>
    </row>
    <row r="27" spans="1:40" ht="26.4" customHeight="1">
      <c r="A27" s="97"/>
      <c r="B27" s="257">
        <f>B25+1</f>
        <v>7</v>
      </c>
      <c r="C27" s="258">
        <v>112151354</v>
      </c>
      <c r="D27" s="223" t="s">
        <v>20</v>
      </c>
      <c r="E27" s="222" t="s">
        <v>49</v>
      </c>
      <c r="F27" s="224">
        <f>F28</f>
        <v>7</v>
      </c>
      <c r="G27" s="225">
        <v>0</v>
      </c>
      <c r="H27" s="226">
        <f>F27*G27</f>
        <v>0</v>
      </c>
      <c r="I27" s="236"/>
      <c r="J27" s="237">
        <v>35</v>
      </c>
      <c r="K27" s="237">
        <v>1</v>
      </c>
      <c r="L27" s="237">
        <f>CEILING((8*4.5)+(8*2*0.5),1)</f>
        <v>44</v>
      </c>
      <c r="M27" s="237">
        <f>CEILING(L27*K27,1)</f>
        <v>44</v>
      </c>
      <c r="N27" s="238"/>
      <c r="O27" s="238"/>
      <c r="P27" s="238"/>
      <c r="Q27" s="238"/>
      <c r="R27" s="238"/>
      <c r="S27" s="238"/>
      <c r="T27" s="238"/>
      <c r="U27" s="239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41"/>
    </row>
    <row r="28" spans="1:40" ht="13.2" customHeight="1">
      <c r="A28" s="97"/>
      <c r="B28" s="259"/>
      <c r="C28" s="249"/>
      <c r="D28" s="250" t="s">
        <v>50</v>
      </c>
      <c r="E28" s="249"/>
      <c r="F28" s="251">
        <f>2+1+1+1+1+1</f>
        <v>7</v>
      </c>
      <c r="G28" s="252"/>
      <c r="H28" s="253"/>
      <c r="I28" s="213"/>
      <c r="J28" s="201">
        <v>35</v>
      </c>
      <c r="K28" s="201">
        <v>1</v>
      </c>
      <c r="L28" s="201">
        <f>CEILING((6.5*5)+(5*1.5*0.5),1)</f>
        <v>37</v>
      </c>
      <c r="M28" s="201">
        <f>CEILING(L28*K28,1)</f>
        <v>37</v>
      </c>
      <c r="N28" s="194"/>
      <c r="O28" s="194"/>
      <c r="P28" s="194"/>
      <c r="Q28" s="194"/>
      <c r="R28" s="194"/>
      <c r="S28" s="194"/>
      <c r="T28" s="194"/>
      <c r="U28" s="243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255"/>
      <c r="AG28" s="219"/>
      <c r="AH28" s="219"/>
      <c r="AI28" s="219"/>
      <c r="AJ28" s="219"/>
      <c r="AK28" s="255"/>
      <c r="AL28" s="255"/>
      <c r="AM28" s="255"/>
      <c r="AN28" s="256"/>
    </row>
    <row r="29" spans="1:40" ht="13.2" customHeight="1">
      <c r="A29" s="97"/>
      <c r="B29" s="221">
        <f>B27+1</f>
        <v>8</v>
      </c>
      <c r="C29" s="260">
        <v>112201134</v>
      </c>
      <c r="D29" s="223" t="s">
        <v>204</v>
      </c>
      <c r="E29" s="222" t="s">
        <v>49</v>
      </c>
      <c r="F29" s="224">
        <v>4</v>
      </c>
      <c r="G29" s="225">
        <v>0</v>
      </c>
      <c r="H29" s="226">
        <f>F29*G29</f>
        <v>0</v>
      </c>
      <c r="I29" s="236"/>
      <c r="J29" s="261">
        <v>35</v>
      </c>
      <c r="K29" s="261">
        <v>1</v>
      </c>
      <c r="L29" s="261">
        <f>CEILING((5*2)+(5*6*0.5),1)</f>
        <v>25</v>
      </c>
      <c r="M29" s="261">
        <f>CEILING(L29*K29,1)</f>
        <v>25</v>
      </c>
      <c r="N29" s="262"/>
      <c r="O29" s="262"/>
      <c r="P29" s="262"/>
      <c r="Q29" s="262"/>
      <c r="R29" s="262"/>
      <c r="S29" s="262"/>
      <c r="T29" s="262"/>
      <c r="U29" s="263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38"/>
      <c r="AL29" s="238"/>
      <c r="AM29" s="238"/>
      <c r="AN29" s="241"/>
    </row>
    <row r="30" spans="1:40" ht="26.4" customHeight="1">
      <c r="A30" s="97"/>
      <c r="B30" s="257">
        <f>B29+1</f>
        <v>9</v>
      </c>
      <c r="C30" s="258">
        <v>155211122</v>
      </c>
      <c r="D30" s="223" t="s">
        <v>51</v>
      </c>
      <c r="E30" s="222" t="s">
        <v>201</v>
      </c>
      <c r="F30" s="224">
        <f>SUM(F31:F31)</f>
        <v>163</v>
      </c>
      <c r="G30" s="225">
        <v>0</v>
      </c>
      <c r="H30" s="226">
        <f>F30*G30</f>
        <v>0</v>
      </c>
      <c r="I30" s="246">
        <f>SUM(M30:M33)</f>
        <v>145</v>
      </c>
      <c r="J30" s="201">
        <v>75</v>
      </c>
      <c r="K30" s="201">
        <v>1.3</v>
      </c>
      <c r="L30" s="201">
        <f>CEILING((2*4)+(4*4.5*0.5),1)</f>
        <v>17</v>
      </c>
      <c r="M30" s="201">
        <f>CEILING(L30*K30,1)</f>
        <v>23</v>
      </c>
      <c r="N30" s="194"/>
      <c r="O30" s="194"/>
      <c r="P30" s="194"/>
      <c r="Q30" s="194"/>
      <c r="R30" s="194"/>
      <c r="S30" s="194"/>
      <c r="T30" s="194"/>
      <c r="U30" s="243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255"/>
      <c r="AG30" s="219"/>
      <c r="AH30" s="219"/>
      <c r="AI30" s="219"/>
      <c r="AJ30" s="219"/>
      <c r="AK30" s="255"/>
      <c r="AL30" s="255"/>
      <c r="AM30" s="255"/>
      <c r="AN30" s="256"/>
    </row>
    <row r="31" spans="1:40" ht="48.6" customHeight="1">
      <c r="A31" s="97"/>
      <c r="B31" s="248"/>
      <c r="C31" s="249"/>
      <c r="D31" s="250" t="s">
        <v>205</v>
      </c>
      <c r="E31" s="249"/>
      <c r="F31" s="251">
        <f>CEILING((84*1.3*1*0.3),1)+CEILING((105*1.3*1*0.3),1)+CEILING((38*1.3*0.3),1)+CEILING((54*1.3*0.3),1)+CEILING((40*1.3*0.3),1)+CEILING((27*1.3*0.3),1)+CEILING((60*1.1*0.1),1)+CEILING((18*1.1*0.1),1)+CEILING((33*1.1*0.2),1)+CEILING((18*1.1*0.2),1)+CEILING((18*1.1*0.2),1)</f>
        <v>163</v>
      </c>
      <c r="G31" s="252"/>
      <c r="H31" s="253"/>
      <c r="I31" s="213"/>
      <c r="J31" s="201">
        <v>75</v>
      </c>
      <c r="K31" s="201">
        <v>1.3</v>
      </c>
      <c r="L31" s="201">
        <f>CEILING((8*4)+(8*2.5*0.5),1)</f>
        <v>42</v>
      </c>
      <c r="M31" s="201">
        <f>CEILING(L31*K31,1)</f>
        <v>55</v>
      </c>
      <c r="N31" s="194"/>
      <c r="O31" s="194"/>
      <c r="P31" s="194"/>
      <c r="Q31" s="194"/>
      <c r="R31" s="194"/>
      <c r="S31" s="194"/>
      <c r="T31" s="194"/>
      <c r="U31" s="243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255"/>
      <c r="AG31" s="255"/>
      <c r="AH31" s="255"/>
      <c r="AI31" s="255"/>
      <c r="AJ31" s="255"/>
      <c r="AK31" s="219"/>
      <c r="AL31" s="219"/>
      <c r="AM31" s="219"/>
      <c r="AN31" s="220"/>
    </row>
    <row r="32" spans="1:40" ht="15.6" customHeight="1">
      <c r="A32" s="97"/>
      <c r="B32" s="257">
        <f>B30+1</f>
        <v>10</v>
      </c>
      <c r="C32" s="258">
        <v>155211311</v>
      </c>
      <c r="D32" s="264" t="s">
        <v>58</v>
      </c>
      <c r="E32" s="222" t="s">
        <v>201</v>
      </c>
      <c r="F32" s="224">
        <f>F33</f>
        <v>27</v>
      </c>
      <c r="G32" s="225">
        <v>0</v>
      </c>
      <c r="H32" s="226">
        <f>F32*G32</f>
        <v>0</v>
      </c>
      <c r="I32" s="236"/>
      <c r="J32" s="261">
        <v>75</v>
      </c>
      <c r="K32" s="261">
        <v>1.3</v>
      </c>
      <c r="L32" s="261">
        <f>CEILING((4*5)+(5*3*0.5),1)</f>
        <v>28</v>
      </c>
      <c r="M32" s="261">
        <f>CEILING(L32*K32,1)</f>
        <v>37</v>
      </c>
      <c r="N32" s="262"/>
      <c r="O32" s="262"/>
      <c r="P32" s="262"/>
      <c r="Q32" s="262"/>
      <c r="R32" s="262"/>
      <c r="S32" s="262"/>
      <c r="T32" s="262"/>
      <c r="U32" s="263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38"/>
      <c r="AH32" s="238"/>
      <c r="AI32" s="238"/>
      <c r="AJ32" s="238"/>
      <c r="AK32" s="262"/>
      <c r="AL32" s="262"/>
      <c r="AM32" s="262"/>
      <c r="AN32" s="265"/>
    </row>
    <row r="33" spans="1:40" ht="13.8" customHeight="1">
      <c r="A33" s="97"/>
      <c r="B33" s="266"/>
      <c r="C33" s="267"/>
      <c r="D33" s="268" t="s">
        <v>59</v>
      </c>
      <c r="E33" s="267"/>
      <c r="F33" s="269">
        <f>(6+6+2+4)*3*0.5</f>
        <v>27</v>
      </c>
      <c r="G33" s="270"/>
      <c r="H33" s="271"/>
      <c r="I33" s="191"/>
      <c r="J33" s="201">
        <v>75</v>
      </c>
      <c r="K33" s="201">
        <v>1.3</v>
      </c>
      <c r="L33" s="201">
        <f>CEILING((5*2)+(5*5*0.5),1)</f>
        <v>23</v>
      </c>
      <c r="M33" s="201">
        <f>CEILING(L33*K33,1)</f>
        <v>30</v>
      </c>
      <c r="N33" s="194"/>
      <c r="O33" s="194"/>
      <c r="P33" s="194"/>
      <c r="Q33" s="194"/>
      <c r="R33" s="194"/>
      <c r="S33" s="194"/>
      <c r="T33" s="194"/>
      <c r="U33" s="243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255"/>
      <c r="AG33" s="219"/>
      <c r="AH33" s="219"/>
      <c r="AI33" s="219"/>
      <c r="AJ33" s="219"/>
      <c r="AK33" s="219"/>
      <c r="AL33" s="219"/>
      <c r="AM33" s="219"/>
      <c r="AN33" s="220"/>
    </row>
    <row r="34" spans="1:40" ht="14.4" customHeight="1">
      <c r="A34" s="97"/>
      <c r="B34" s="203" t="s">
        <v>206</v>
      </c>
      <c r="C34" s="204"/>
      <c r="D34" s="204"/>
      <c r="E34" s="204"/>
      <c r="F34" s="204"/>
      <c r="G34" s="204"/>
      <c r="H34" s="205">
        <f>SUM(H35:H64)</f>
        <v>0</v>
      </c>
      <c r="I34" s="236"/>
      <c r="J34" s="272"/>
      <c r="K34" s="272"/>
      <c r="L34" s="272">
        <f>SUM(L15:L33)</f>
        <v>732</v>
      </c>
      <c r="M34" s="272">
        <f>SUM(M15:M33)</f>
        <v>891</v>
      </c>
      <c r="N34" s="272">
        <f>SUM(N15:N21)</f>
        <v>0</v>
      </c>
      <c r="O34" s="272"/>
      <c r="P34" s="272">
        <f>SUM(P15:P21)</f>
        <v>357</v>
      </c>
      <c r="Q34" s="272"/>
      <c r="R34" s="272">
        <f>SUM(R15:R25)</f>
        <v>154.5</v>
      </c>
      <c r="S34" s="272">
        <f>SUM(S15:S21)</f>
        <v>39</v>
      </c>
      <c r="T34" s="272">
        <f>SUM(T15:T21)</f>
        <v>0</v>
      </c>
      <c r="U34" s="272">
        <f>SUM(U15:U21)</f>
      </c>
      <c r="V34" s="272"/>
      <c r="W34" s="272">
        <f>SUM(W15:W21)</f>
        <v>522</v>
      </c>
      <c r="X34" s="263"/>
      <c r="Y34" s="263"/>
      <c r="Z34" s="273">
        <f>SUM(Z15:Z21)</f>
        <v>126</v>
      </c>
      <c r="AA34" s="263"/>
      <c r="AB34" s="263"/>
      <c r="AC34" s="263"/>
      <c r="AD34" s="263"/>
      <c r="AE34" s="263"/>
      <c r="AF34" s="238"/>
      <c r="AG34" s="238"/>
      <c r="AH34" s="238"/>
      <c r="AI34" s="238"/>
      <c r="AJ34" s="238"/>
      <c r="AK34" s="262"/>
      <c r="AL34" s="262"/>
      <c r="AM34" s="262"/>
      <c r="AN34" s="265"/>
    </row>
    <row r="35" spans="1:40" ht="15.6" customHeight="1">
      <c r="A35" s="274"/>
      <c r="B35" s="207">
        <f>B32+1</f>
        <v>11</v>
      </c>
      <c r="C35" s="275">
        <v>122411101</v>
      </c>
      <c r="D35" s="276" t="s">
        <v>207</v>
      </c>
      <c r="E35" s="208" t="s">
        <v>201</v>
      </c>
      <c r="F35" s="210">
        <f>F36</f>
        <v>1</v>
      </c>
      <c r="G35" s="211">
        <v>0</v>
      </c>
      <c r="H35" s="212">
        <f>F35*G35</f>
        <v>0</v>
      </c>
      <c r="I35" s="227"/>
      <c r="J35" s="255"/>
      <c r="K35" s="255"/>
      <c r="L35" s="255"/>
      <c r="M35" s="255"/>
      <c r="N35" s="255"/>
      <c r="O35" s="255"/>
      <c r="P35" s="255"/>
      <c r="Q35" s="255"/>
      <c r="R35" s="277">
        <f>R34+S34</f>
        <v>193.5</v>
      </c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181"/>
      <c r="AH35" s="219"/>
      <c r="AI35" s="219"/>
      <c r="AJ35" s="219"/>
      <c r="AK35" s="219"/>
      <c r="AL35" s="219"/>
      <c r="AM35" s="219"/>
      <c r="AN35" s="220"/>
    </row>
    <row r="36" spans="1:40" ht="13.2" customHeight="1">
      <c r="A36" s="274"/>
      <c r="B36" s="248"/>
      <c r="C36" s="249"/>
      <c r="D36" s="250" t="s">
        <v>208</v>
      </c>
      <c r="E36" s="249"/>
      <c r="F36" s="251">
        <f>CEILING(0.5*0.5*0.8*F41,0.1)</f>
        <v>1</v>
      </c>
      <c r="G36" s="252"/>
      <c r="H36" s="253"/>
      <c r="I36" s="227"/>
      <c r="J36" s="255"/>
      <c r="K36" s="255"/>
      <c r="L36" s="255"/>
      <c r="M36" s="255"/>
      <c r="N36" s="255"/>
      <c r="O36" s="255"/>
      <c r="P36" s="255"/>
      <c r="Q36" s="255"/>
      <c r="R36" s="277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181"/>
      <c r="AH36" s="219"/>
      <c r="AI36" s="219"/>
      <c r="AJ36" s="219"/>
      <c r="AK36" s="219"/>
      <c r="AL36" s="219"/>
      <c r="AM36" s="219"/>
      <c r="AN36" s="220"/>
    </row>
    <row r="37" spans="1:40" ht="39.6" customHeight="1">
      <c r="A37" s="97"/>
      <c r="B37" s="257">
        <f>B35+1</f>
        <v>12</v>
      </c>
      <c r="C37" s="258">
        <v>155212344</v>
      </c>
      <c r="D37" s="223" t="s">
        <v>209</v>
      </c>
      <c r="E37" s="222" t="s">
        <v>64</v>
      </c>
      <c r="F37" s="224">
        <f>SUM(F38:F38)</f>
        <v>8</v>
      </c>
      <c r="G37" s="225">
        <v>0</v>
      </c>
      <c r="H37" s="226">
        <f>F37*G37</f>
        <v>0</v>
      </c>
      <c r="I37" s="236"/>
      <c r="J37" s="262"/>
      <c r="K37" s="262"/>
      <c r="L37" s="262"/>
      <c r="M37" s="262"/>
      <c r="N37" s="262"/>
      <c r="O37" s="262"/>
      <c r="P37" s="262"/>
      <c r="Q37" s="262"/>
      <c r="R37" s="278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38"/>
      <c r="AH37" s="238"/>
      <c r="AI37" s="238"/>
      <c r="AJ37" s="238"/>
      <c r="AK37" s="238"/>
      <c r="AL37" s="238"/>
      <c r="AM37" s="238"/>
      <c r="AN37" s="241"/>
    </row>
    <row r="38" spans="1:40" ht="13.2" customHeight="1">
      <c r="A38" s="97"/>
      <c r="B38" s="259"/>
      <c r="C38" s="279"/>
      <c r="D38" s="250" t="s">
        <v>210</v>
      </c>
      <c r="E38" s="249"/>
      <c r="F38" s="251">
        <f>CEILING((F42)*1.6,1)</f>
        <v>8</v>
      </c>
      <c r="G38" s="252"/>
      <c r="H38" s="253"/>
      <c r="I38" s="191"/>
      <c r="J38" s="219"/>
      <c r="K38" s="219"/>
      <c r="L38" s="280">
        <f>SUM(L24:L25)</f>
        <v>36</v>
      </c>
      <c r="M38" s="219"/>
      <c r="N38" s="219"/>
      <c r="O38" s="219"/>
      <c r="P38" s="219"/>
      <c r="Q38" s="219"/>
      <c r="R38" s="281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181"/>
      <c r="AH38" s="228"/>
      <c r="AI38" s="228"/>
      <c r="AJ38" s="228"/>
      <c r="AK38" s="219"/>
      <c r="AL38" s="219"/>
      <c r="AM38" s="219"/>
      <c r="AN38" s="220"/>
    </row>
    <row r="39" spans="1:40" ht="13.2" customHeight="1">
      <c r="A39" s="97"/>
      <c r="B39" s="257">
        <f>B37+1</f>
        <v>13</v>
      </c>
      <c r="C39" s="258">
        <v>155213611</v>
      </c>
      <c r="D39" s="282" t="s">
        <v>211</v>
      </c>
      <c r="E39" s="222" t="s">
        <v>49</v>
      </c>
      <c r="F39" s="224">
        <f>SUM(F40:F40)</f>
        <v>7</v>
      </c>
      <c r="G39" s="225">
        <v>0</v>
      </c>
      <c r="H39" s="226">
        <f>F39*G39</f>
        <v>0</v>
      </c>
      <c r="I39" s="236"/>
      <c r="J39" s="262"/>
      <c r="K39" s="262"/>
      <c r="L39" s="262"/>
      <c r="M39" s="262"/>
      <c r="N39" s="262"/>
      <c r="O39" s="262"/>
      <c r="P39" s="262"/>
      <c r="Q39" s="262"/>
      <c r="R39" s="262"/>
      <c r="S39" s="278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38"/>
      <c r="AH39" s="238"/>
      <c r="AI39" s="238"/>
      <c r="AJ39" s="238"/>
      <c r="AK39" s="238"/>
      <c r="AL39" s="238"/>
      <c r="AM39" s="238"/>
      <c r="AN39" s="241"/>
    </row>
    <row r="40" spans="1:40" ht="27.6" customHeight="1">
      <c r="A40" s="97"/>
      <c r="B40" s="259"/>
      <c r="C40" s="279"/>
      <c r="D40" s="250" t="s">
        <v>212</v>
      </c>
      <c r="E40" s="249"/>
      <c r="F40" s="251">
        <f>(F44)+2</f>
        <v>7</v>
      </c>
      <c r="G40" s="252"/>
      <c r="H40" s="253"/>
      <c r="I40" s="191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181"/>
      <c r="AH40" s="181"/>
      <c r="AI40" s="181"/>
      <c r="AJ40" s="181"/>
      <c r="AK40" s="219"/>
      <c r="AL40" s="219"/>
      <c r="AM40" s="219"/>
      <c r="AN40" s="220"/>
    </row>
    <row r="41" spans="1:40" ht="25.95" customHeight="1">
      <c r="A41" s="97"/>
      <c r="B41" s="257">
        <f>B39+1</f>
        <v>14</v>
      </c>
      <c r="C41" s="258">
        <v>155214411</v>
      </c>
      <c r="D41" s="283" t="s">
        <v>213</v>
      </c>
      <c r="E41" s="222" t="s">
        <v>49</v>
      </c>
      <c r="F41" s="224">
        <f>SUM(F42:F42)</f>
        <v>5</v>
      </c>
      <c r="G41" s="225">
        <v>0</v>
      </c>
      <c r="H41" s="226">
        <f>F41*G41</f>
        <v>0</v>
      </c>
      <c r="I41" s="236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38"/>
      <c r="AH41" s="238"/>
      <c r="AI41" s="238"/>
      <c r="AJ41" s="238"/>
      <c r="AK41" s="238"/>
      <c r="AL41" s="238"/>
      <c r="AM41" s="238"/>
      <c r="AN41" s="241"/>
    </row>
    <row r="42" spans="1:40" ht="13.2" customHeight="1">
      <c r="A42" s="97"/>
      <c r="B42" s="259"/>
      <c r="C42" s="279"/>
      <c r="D42" s="250" t="s">
        <v>214</v>
      </c>
      <c r="E42" s="249"/>
      <c r="F42" s="251">
        <f>(12/3)+1</f>
        <v>5</v>
      </c>
      <c r="G42" s="252"/>
      <c r="H42" s="253"/>
      <c r="I42" s="191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181"/>
      <c r="AH42" s="181"/>
      <c r="AI42" s="181"/>
      <c r="AJ42" s="181"/>
      <c r="AK42" s="181"/>
      <c r="AL42" s="181"/>
      <c r="AM42" s="181"/>
      <c r="AN42" s="182"/>
    </row>
    <row r="43" spans="1:40" ht="13.2" customHeight="1">
      <c r="A43" s="97"/>
      <c r="B43" s="257">
        <f>B41+1</f>
        <v>15</v>
      </c>
      <c r="C43" s="258">
        <v>155214511</v>
      </c>
      <c r="D43" s="223" t="s">
        <v>215</v>
      </c>
      <c r="E43" s="222" t="s">
        <v>49</v>
      </c>
      <c r="F43" s="224">
        <f>SUM(F44:F44)</f>
        <v>5</v>
      </c>
      <c r="G43" s="225">
        <v>0</v>
      </c>
      <c r="H43" s="226">
        <f>F43*G43</f>
        <v>0</v>
      </c>
      <c r="I43" s="160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81"/>
    </row>
    <row r="44" spans="1:40" ht="13.2" customHeight="1">
      <c r="A44" s="97"/>
      <c r="B44" s="259"/>
      <c r="C44" s="279"/>
      <c r="D44" s="250" t="s">
        <v>108</v>
      </c>
      <c r="E44" s="249"/>
      <c r="F44" s="251">
        <f>F42</f>
        <v>5</v>
      </c>
      <c r="G44" s="252"/>
      <c r="H44" s="253"/>
      <c r="I44" s="160"/>
      <c r="J44" s="284"/>
      <c r="K44" s="284"/>
      <c r="L44" s="285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67"/>
      <c r="AH44" s="67"/>
      <c r="AI44" s="67"/>
      <c r="AJ44" s="67"/>
      <c r="AK44" s="284"/>
      <c r="AL44" s="284"/>
      <c r="AM44" s="284"/>
      <c r="AN44" s="286"/>
    </row>
    <row r="45" spans="1:40" ht="13.2" customHeight="1">
      <c r="A45" s="97"/>
      <c r="B45" s="257">
        <f>B43+1</f>
        <v>16</v>
      </c>
      <c r="C45" s="258">
        <v>155214521</v>
      </c>
      <c r="D45" s="282" t="s">
        <v>216</v>
      </c>
      <c r="E45" s="222" t="s">
        <v>194</v>
      </c>
      <c r="F45" s="224">
        <f>SUM(F46:F46)</f>
        <v>36</v>
      </c>
      <c r="G45" s="225">
        <v>0</v>
      </c>
      <c r="H45" s="226">
        <f>F45*G45</f>
        <v>0</v>
      </c>
      <c r="I45" s="160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81"/>
    </row>
    <row r="46" spans="1:40" ht="13.2" customHeight="1">
      <c r="A46" s="97"/>
      <c r="B46" s="259"/>
      <c r="C46" s="279"/>
      <c r="D46" s="250" t="s">
        <v>217</v>
      </c>
      <c r="E46" s="249"/>
      <c r="F46" s="251">
        <f>(F43-1)*3*3</f>
        <v>36</v>
      </c>
      <c r="G46" s="252"/>
      <c r="H46" s="253"/>
      <c r="I46" s="160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67"/>
      <c r="AH46" s="67"/>
      <c r="AI46" s="67"/>
      <c r="AJ46" s="67"/>
      <c r="AK46" s="284"/>
      <c r="AL46" s="284"/>
      <c r="AM46" s="284"/>
      <c r="AN46" s="286"/>
    </row>
    <row r="47" spans="1:40" ht="26.4" customHeight="1">
      <c r="A47" s="97"/>
      <c r="B47" s="257">
        <f>B45+1</f>
        <v>17</v>
      </c>
      <c r="C47" s="258">
        <v>31319114</v>
      </c>
      <c r="D47" s="223" t="s">
        <v>218</v>
      </c>
      <c r="E47" s="222" t="s">
        <v>194</v>
      </c>
      <c r="F47" s="224">
        <f>SUM(F48:F48)</f>
        <v>43.2</v>
      </c>
      <c r="G47" s="225">
        <v>0</v>
      </c>
      <c r="H47" s="226">
        <f>F47*G47</f>
        <v>0</v>
      </c>
      <c r="I47" s="160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81"/>
    </row>
    <row r="48" spans="1:40" ht="11.4" customHeight="1">
      <c r="A48" s="274"/>
      <c r="B48" s="259"/>
      <c r="C48" s="279"/>
      <c r="D48" s="250" t="s">
        <v>219</v>
      </c>
      <c r="E48" s="249"/>
      <c r="F48" s="251">
        <f>F46*1.2</f>
        <v>43.2</v>
      </c>
      <c r="G48" s="252"/>
      <c r="H48" s="253"/>
      <c r="I48" s="160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67"/>
      <c r="AH48" s="67"/>
      <c r="AI48" s="67"/>
      <c r="AJ48" s="67"/>
      <c r="AK48" s="284"/>
      <c r="AL48" s="284"/>
      <c r="AM48" s="284"/>
      <c r="AN48" s="286"/>
    </row>
    <row r="49" spans="1:40" ht="13.2" customHeight="1">
      <c r="A49" s="97"/>
      <c r="B49" s="257">
        <f>B47+1</f>
        <v>18</v>
      </c>
      <c r="C49" s="258">
        <v>155214525</v>
      </c>
      <c r="D49" s="223" t="s">
        <v>220</v>
      </c>
      <c r="E49" s="222" t="s">
        <v>64</v>
      </c>
      <c r="F49" s="224">
        <f>SUM(F50:F50)</f>
        <v>120</v>
      </c>
      <c r="G49" s="225">
        <v>0</v>
      </c>
      <c r="H49" s="226">
        <f>F49*G49</f>
        <v>0</v>
      </c>
      <c r="I49" s="160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81"/>
    </row>
    <row r="50" spans="1:40" ht="11.4" customHeight="1">
      <c r="A50" s="274"/>
      <c r="B50" s="259"/>
      <c r="C50" s="279"/>
      <c r="D50" s="250" t="s">
        <v>221</v>
      </c>
      <c r="E50" s="249"/>
      <c r="F50" s="251">
        <f>(12*7)+(5*4)+(2*4*2)</f>
        <v>120</v>
      </c>
      <c r="G50" s="252"/>
      <c r="H50" s="253"/>
      <c r="I50" s="160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284"/>
      <c r="AL50" s="284"/>
      <c r="AM50" s="284"/>
      <c r="AN50" s="286"/>
    </row>
    <row r="51" spans="1:40" ht="13.2" customHeight="1">
      <c r="A51" s="97"/>
      <c r="B51" s="257">
        <f>B49+1</f>
        <v>19</v>
      </c>
      <c r="C51" s="258">
        <v>31452112</v>
      </c>
      <c r="D51" s="223" t="s">
        <v>222</v>
      </c>
      <c r="E51" s="222" t="s">
        <v>64</v>
      </c>
      <c r="F51" s="224">
        <f>SUM(F52:F52)</f>
        <v>144</v>
      </c>
      <c r="G51" s="225">
        <v>0</v>
      </c>
      <c r="H51" s="226">
        <f>F51*G51</f>
        <v>0</v>
      </c>
      <c r="I51" s="160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81"/>
    </row>
    <row r="52" spans="1:40" ht="25.8" customHeight="1">
      <c r="A52" s="97"/>
      <c r="B52" s="259"/>
      <c r="C52" s="279"/>
      <c r="D52" s="250" t="s">
        <v>223</v>
      </c>
      <c r="E52" s="249"/>
      <c r="F52" s="251">
        <f>CEILING(F50*1.2,1)</f>
        <v>144</v>
      </c>
      <c r="G52" s="252"/>
      <c r="H52" s="253"/>
      <c r="I52" s="160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284"/>
      <c r="AL52" s="284"/>
      <c r="AM52" s="284"/>
      <c r="AN52" s="286"/>
    </row>
    <row r="53" spans="1:40" ht="13.2" customHeight="1">
      <c r="A53" s="97"/>
      <c r="B53" s="257">
        <f>B51+1</f>
        <v>20</v>
      </c>
      <c r="C53" s="258">
        <v>31452183</v>
      </c>
      <c r="D53" s="283" t="s">
        <v>224</v>
      </c>
      <c r="E53" s="222" t="s">
        <v>49</v>
      </c>
      <c r="F53" s="224">
        <f>SUM(F54:F54)</f>
        <v>63</v>
      </c>
      <c r="G53" s="225">
        <v>0</v>
      </c>
      <c r="H53" s="226">
        <f>F53*G53</f>
        <v>0</v>
      </c>
      <c r="I53" s="160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81"/>
    </row>
    <row r="54" spans="1:40" ht="11.4" customHeight="1">
      <c r="A54" s="97"/>
      <c r="B54" s="259"/>
      <c r="C54" s="279"/>
      <c r="D54" s="250" t="s">
        <v>225</v>
      </c>
      <c r="E54" s="249"/>
      <c r="F54" s="251">
        <f>((CEILING((12/15),1))*3*7)+(2*3*2)+(5*3*2)</f>
        <v>63</v>
      </c>
      <c r="G54" s="252"/>
      <c r="H54" s="253"/>
      <c r="I54" s="160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284"/>
      <c r="AL54" s="284"/>
      <c r="AM54" s="284"/>
      <c r="AN54" s="286"/>
    </row>
    <row r="55" spans="1:40" ht="13.2" customHeight="1">
      <c r="A55" s="97"/>
      <c r="B55" s="257">
        <f>B53+1</f>
        <v>21</v>
      </c>
      <c r="C55" s="258">
        <v>31319130</v>
      </c>
      <c r="D55" s="283" t="s">
        <v>226</v>
      </c>
      <c r="E55" s="222" t="s">
        <v>49</v>
      </c>
      <c r="F55" s="224">
        <f>F56</f>
        <v>346</v>
      </c>
      <c r="G55" s="225">
        <v>0</v>
      </c>
      <c r="H55" s="226">
        <f>F55*G55</f>
        <v>0</v>
      </c>
      <c r="I55" s="160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81"/>
    </row>
    <row r="56" spans="1:40" ht="11.4" customHeight="1">
      <c r="A56" s="97"/>
      <c r="B56" s="259"/>
      <c r="C56" s="279"/>
      <c r="D56" s="250" t="s">
        <v>227</v>
      </c>
      <c r="E56" s="249"/>
      <c r="F56" s="251">
        <f>CEILING((F45*8)*1.2,1)</f>
        <v>346</v>
      </c>
      <c r="G56" s="252"/>
      <c r="H56" s="253"/>
      <c r="I56" s="160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284"/>
      <c r="AL56" s="284"/>
      <c r="AM56" s="284"/>
      <c r="AN56" s="286"/>
    </row>
    <row r="57" spans="1:40" ht="26.4" customHeight="1">
      <c r="A57" s="97"/>
      <c r="B57" s="257">
        <f>B55+1</f>
        <v>22</v>
      </c>
      <c r="C57" s="258">
        <v>58521150</v>
      </c>
      <c r="D57" s="223" t="s">
        <v>69</v>
      </c>
      <c r="E57" s="222" t="s">
        <v>70</v>
      </c>
      <c r="F57" s="224">
        <f>SUM(F58:F58)</f>
        <v>0.5</v>
      </c>
      <c r="G57" s="225">
        <v>0</v>
      </c>
      <c r="H57" s="226">
        <f>F57*G57</f>
        <v>0</v>
      </c>
      <c r="I57" s="160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81"/>
    </row>
    <row r="58" spans="1:40" ht="37.8" customHeight="1">
      <c r="A58" s="97"/>
      <c r="B58" s="259"/>
      <c r="C58" s="279"/>
      <c r="D58" s="250" t="s">
        <v>228</v>
      </c>
      <c r="E58" s="249"/>
      <c r="F58" s="251">
        <f>CEILING((((PI())*(0.028^2)*(F40)*2*1.22*2)+((PI())*(0.078^2)*(F42)*1.6*1.22*2)),0.1)</f>
        <v>0.5</v>
      </c>
      <c r="G58" s="252"/>
      <c r="H58" s="253"/>
      <c r="I58" s="160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284"/>
      <c r="AL58" s="284"/>
      <c r="AM58" s="284"/>
      <c r="AN58" s="286"/>
    </row>
    <row r="59" spans="1:40" ht="13.2" customHeight="1">
      <c r="A59" s="97"/>
      <c r="B59" s="257">
        <f>B57+1</f>
        <v>23</v>
      </c>
      <c r="C59" s="258">
        <v>281604121</v>
      </c>
      <c r="D59" s="223" t="s">
        <v>72</v>
      </c>
      <c r="E59" s="222" t="s">
        <v>73</v>
      </c>
      <c r="F59" s="224">
        <f>SUM(F60:F60)</f>
        <v>4</v>
      </c>
      <c r="G59" s="225">
        <v>0</v>
      </c>
      <c r="H59" s="226">
        <f>F59*G59</f>
        <v>0</v>
      </c>
      <c r="I59" s="160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81"/>
    </row>
    <row r="60" spans="1:40" ht="11.4" customHeight="1">
      <c r="A60" s="97"/>
      <c r="B60" s="259"/>
      <c r="C60" s="279"/>
      <c r="D60" s="250" t="s">
        <v>229</v>
      </c>
      <c r="E60" s="249"/>
      <c r="F60" s="251">
        <f>CEILING((F39*2*0.15)+(F41*1.6*0.2),0.5)</f>
        <v>4</v>
      </c>
      <c r="G60" s="252"/>
      <c r="H60" s="253"/>
      <c r="I60" s="160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284"/>
      <c r="AL60" s="284"/>
      <c r="AM60" s="284"/>
      <c r="AN60" s="286"/>
    </row>
    <row r="61" spans="1:40" ht="26.4" customHeight="1">
      <c r="A61" s="97"/>
      <c r="B61" s="257">
        <f>B59+1</f>
        <v>24</v>
      </c>
      <c r="C61" s="264" t="s">
        <v>230</v>
      </c>
      <c r="D61" s="283" t="s">
        <v>231</v>
      </c>
      <c r="E61" s="222" t="s">
        <v>201</v>
      </c>
      <c r="F61" s="224">
        <f>F62</f>
        <v>1</v>
      </c>
      <c r="G61" s="225">
        <v>0</v>
      </c>
      <c r="H61" s="226">
        <f>F61*G61</f>
        <v>0</v>
      </c>
      <c r="I61" s="160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81"/>
    </row>
    <row r="62" spans="1:40" ht="11.4" customHeight="1">
      <c r="A62" s="97"/>
      <c r="B62" s="259"/>
      <c r="C62" s="279"/>
      <c r="D62" s="250" t="s">
        <v>232</v>
      </c>
      <c r="E62" s="249"/>
      <c r="F62" s="251">
        <f>F36</f>
        <v>1</v>
      </c>
      <c r="G62" s="252"/>
      <c r="H62" s="253"/>
      <c r="I62" s="160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81"/>
    </row>
    <row r="63" spans="1:40" ht="15.6" customHeight="1">
      <c r="A63" s="97"/>
      <c r="B63" s="257">
        <f>B61+1</f>
        <v>25</v>
      </c>
      <c r="C63" s="258">
        <v>959201560</v>
      </c>
      <c r="D63" s="223" t="s">
        <v>76</v>
      </c>
      <c r="E63" s="222" t="s">
        <v>194</v>
      </c>
      <c r="F63" s="224">
        <f>SUM(F64:F64)</f>
        <v>10.5</v>
      </c>
      <c r="G63" s="225">
        <v>0</v>
      </c>
      <c r="H63" s="226">
        <f>F63*G63</f>
        <v>0</v>
      </c>
      <c r="I63" s="160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81"/>
    </row>
    <row r="64" spans="1:40" ht="12" customHeight="1">
      <c r="A64" s="97"/>
      <c r="B64" s="287"/>
      <c r="C64" s="288"/>
      <c r="D64" s="268" t="s">
        <v>233</v>
      </c>
      <c r="E64" s="267"/>
      <c r="F64" s="269">
        <f>CEILING((((F40*0.02)+(F42*1.02))*2),0.1)</f>
        <v>10.5</v>
      </c>
      <c r="G64" s="270"/>
      <c r="H64" s="271"/>
      <c r="I64" s="160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284"/>
      <c r="AL64" s="284"/>
      <c r="AM64" s="284"/>
      <c r="AN64" s="286"/>
    </row>
    <row r="65" spans="1:40" ht="8" customHeight="1">
      <c r="A65" s="97"/>
      <c r="B65" s="289"/>
      <c r="C65" s="290"/>
      <c r="D65" s="291"/>
      <c r="E65" s="291"/>
      <c r="F65" s="292"/>
      <c r="G65" s="293"/>
      <c r="H65" s="294"/>
      <c r="I65" s="160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284"/>
      <c r="AL65" s="284"/>
      <c r="AM65" s="284"/>
      <c r="AN65" s="286"/>
    </row>
    <row r="66" spans="1:40" ht="14.4" customHeight="1">
      <c r="A66" s="97"/>
      <c r="B66" s="203" t="s">
        <v>136</v>
      </c>
      <c r="C66" s="204"/>
      <c r="D66" s="204"/>
      <c r="E66" s="204"/>
      <c r="F66" s="204"/>
      <c r="G66" s="204"/>
      <c r="H66" s="205">
        <f>SUM(H67:H87)</f>
        <v>0</v>
      </c>
      <c r="I66" s="160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81"/>
    </row>
    <row r="67" spans="1:40" ht="26.4" customHeight="1">
      <c r="A67" s="97"/>
      <c r="B67" s="244">
        <f>B63+1</f>
        <v>26</v>
      </c>
      <c r="C67" s="275">
        <v>162301401</v>
      </c>
      <c r="D67" s="209" t="s">
        <v>234</v>
      </c>
      <c r="E67" s="208" t="s">
        <v>49</v>
      </c>
      <c r="F67" s="210">
        <f>F25</f>
        <v>15</v>
      </c>
      <c r="G67" s="211">
        <v>0</v>
      </c>
      <c r="H67" s="212">
        <f>F67*G67</f>
        <v>0</v>
      </c>
      <c r="I67" s="160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284"/>
      <c r="AL67" s="284"/>
      <c r="AM67" s="284"/>
      <c r="AN67" s="286"/>
    </row>
    <row r="68" spans="1:40" ht="26.4" customHeight="1">
      <c r="A68" s="97"/>
      <c r="B68" s="257">
        <f>B67+1</f>
        <v>27</v>
      </c>
      <c r="C68" s="260">
        <v>162301402</v>
      </c>
      <c r="D68" s="223" t="s">
        <v>235</v>
      </c>
      <c r="E68" s="222" t="s">
        <v>49</v>
      </c>
      <c r="F68" s="224">
        <f>F27</f>
        <v>7</v>
      </c>
      <c r="G68" s="225">
        <v>0</v>
      </c>
      <c r="H68" s="226">
        <f>F68*G68</f>
        <v>0</v>
      </c>
      <c r="I68" s="160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67"/>
      <c r="AH68" s="284"/>
      <c r="AI68" s="284"/>
      <c r="AJ68" s="284"/>
      <c r="AK68" s="67"/>
      <c r="AL68" s="67"/>
      <c r="AM68" s="67"/>
      <c r="AN68" s="81"/>
    </row>
    <row r="69" spans="1:40" ht="26.4" customHeight="1">
      <c r="A69" s="97"/>
      <c r="B69" s="257">
        <f>B68+1</f>
        <v>28</v>
      </c>
      <c r="C69" s="260">
        <v>162301901</v>
      </c>
      <c r="D69" s="223" t="s">
        <v>236</v>
      </c>
      <c r="E69" s="222" t="s">
        <v>49</v>
      </c>
      <c r="F69" s="224">
        <f>F70</f>
        <v>30</v>
      </c>
      <c r="G69" s="225">
        <v>0</v>
      </c>
      <c r="H69" s="226">
        <f>F69*G69</f>
        <v>0</v>
      </c>
      <c r="I69" s="160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284"/>
      <c r="AL69" s="284"/>
      <c r="AM69" s="284"/>
      <c r="AN69" s="286"/>
    </row>
    <row r="70" spans="1:40" ht="13.2" customHeight="1">
      <c r="A70" s="97"/>
      <c r="B70" s="259"/>
      <c r="C70" s="249"/>
      <c r="D70" s="250" t="s">
        <v>237</v>
      </c>
      <c r="E70" s="249"/>
      <c r="F70" s="251">
        <f>F67*2</f>
        <v>30</v>
      </c>
      <c r="G70" s="252"/>
      <c r="H70" s="253"/>
      <c r="I70" s="160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67"/>
      <c r="AH70" s="67"/>
      <c r="AI70" s="67"/>
      <c r="AJ70" s="67"/>
      <c r="AK70" s="67"/>
      <c r="AL70" s="67"/>
      <c r="AM70" s="67"/>
      <c r="AN70" s="81"/>
    </row>
    <row r="71" spans="1:40" ht="26.4" customHeight="1">
      <c r="A71" s="97"/>
      <c r="B71" s="257">
        <f>B69+1</f>
        <v>29</v>
      </c>
      <c r="C71" s="260">
        <v>162301902</v>
      </c>
      <c r="D71" s="223" t="s">
        <v>238</v>
      </c>
      <c r="E71" s="222" t="s">
        <v>49</v>
      </c>
      <c r="F71" s="224">
        <f>F72</f>
        <v>14</v>
      </c>
      <c r="G71" s="225">
        <v>0</v>
      </c>
      <c r="H71" s="226">
        <f>F71*G71</f>
        <v>0</v>
      </c>
      <c r="I71" s="160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81"/>
    </row>
    <row r="72" spans="1:40" ht="11.4" customHeight="1">
      <c r="A72" s="97"/>
      <c r="B72" s="259"/>
      <c r="C72" s="249"/>
      <c r="D72" s="250" t="s">
        <v>239</v>
      </c>
      <c r="E72" s="249"/>
      <c r="F72" s="251">
        <f>F68*2</f>
        <v>14</v>
      </c>
      <c r="G72" s="252"/>
      <c r="H72" s="253"/>
      <c r="I72" s="160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67"/>
      <c r="AH72" s="67"/>
      <c r="AI72" s="67"/>
      <c r="AJ72" s="67"/>
      <c r="AK72" s="67"/>
      <c r="AL72" s="67"/>
      <c r="AM72" s="67"/>
      <c r="AN72" s="81"/>
    </row>
    <row r="73" spans="1:40" ht="26.4" customHeight="1">
      <c r="A73" s="97"/>
      <c r="B73" s="257">
        <f>B71+1</f>
        <v>30</v>
      </c>
      <c r="C73" s="258">
        <v>162211321</v>
      </c>
      <c r="D73" s="223" t="s">
        <v>240</v>
      </c>
      <c r="E73" s="222" t="s">
        <v>201</v>
      </c>
      <c r="F73" s="224">
        <f>F74</f>
        <v>191</v>
      </c>
      <c r="G73" s="225">
        <v>0</v>
      </c>
      <c r="H73" s="226">
        <f>F73*G73</f>
        <v>0</v>
      </c>
      <c r="I73" s="160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81"/>
    </row>
    <row r="74" spans="1:40" ht="11.4" customHeight="1">
      <c r="A74" s="97"/>
      <c r="B74" s="259"/>
      <c r="C74" s="279"/>
      <c r="D74" s="250" t="s">
        <v>241</v>
      </c>
      <c r="E74" s="249"/>
      <c r="F74" s="251">
        <f>F30+F32+F35</f>
        <v>191</v>
      </c>
      <c r="G74" s="252"/>
      <c r="H74" s="253"/>
      <c r="I74" s="160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67"/>
      <c r="AH74" s="67"/>
      <c r="AI74" s="67"/>
      <c r="AJ74" s="67"/>
      <c r="AK74" s="67"/>
      <c r="AL74" s="67"/>
      <c r="AM74" s="67"/>
      <c r="AN74" s="81"/>
    </row>
    <row r="75" spans="1:40" ht="39.6" customHeight="1">
      <c r="A75" s="97"/>
      <c r="B75" s="257">
        <f>B73+1</f>
        <v>31</v>
      </c>
      <c r="C75" s="258">
        <v>162211329</v>
      </c>
      <c r="D75" s="223" t="s">
        <v>242</v>
      </c>
      <c r="E75" s="222" t="s">
        <v>201</v>
      </c>
      <c r="F75" s="224">
        <f>SUM(F76:F76)</f>
        <v>191</v>
      </c>
      <c r="G75" s="225">
        <v>0</v>
      </c>
      <c r="H75" s="226">
        <f>F75*G75</f>
        <v>0</v>
      </c>
      <c r="I75" s="160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81"/>
    </row>
    <row r="76" spans="1:40" ht="11.4" customHeight="1">
      <c r="A76" s="97"/>
      <c r="B76" s="259"/>
      <c r="C76" s="279"/>
      <c r="D76" s="250" t="s">
        <v>243</v>
      </c>
      <c r="E76" s="249"/>
      <c r="F76" s="251">
        <f>F73*1</f>
        <v>191</v>
      </c>
      <c r="G76" s="252"/>
      <c r="H76" s="253"/>
      <c r="I76" s="160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67"/>
      <c r="AH76" s="67"/>
      <c r="AI76" s="67"/>
      <c r="AJ76" s="67"/>
      <c r="AK76" s="67"/>
      <c r="AL76" s="67"/>
      <c r="AM76" s="67"/>
      <c r="AN76" s="81"/>
    </row>
    <row r="77" spans="1:40" ht="13.2" customHeight="1">
      <c r="A77" s="97"/>
      <c r="B77" s="257">
        <f>B75+1</f>
        <v>32</v>
      </c>
      <c r="C77" s="258">
        <v>162751137</v>
      </c>
      <c r="D77" s="223" t="s">
        <v>137</v>
      </c>
      <c r="E77" s="222" t="s">
        <v>201</v>
      </c>
      <c r="F77" s="224">
        <f>F78</f>
        <v>191</v>
      </c>
      <c r="G77" s="225">
        <v>0</v>
      </c>
      <c r="H77" s="226">
        <f>F77*G77</f>
        <v>0</v>
      </c>
      <c r="I77" s="160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81"/>
    </row>
    <row r="78" spans="1:40" ht="11.4" customHeight="1">
      <c r="A78" s="97"/>
      <c r="B78" s="259"/>
      <c r="C78" s="279"/>
      <c r="D78" s="250" t="s">
        <v>244</v>
      </c>
      <c r="E78" s="249"/>
      <c r="F78" s="251">
        <f>F75</f>
        <v>191</v>
      </c>
      <c r="G78" s="252"/>
      <c r="H78" s="253"/>
      <c r="I78" s="160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81"/>
    </row>
    <row r="79" spans="1:40" ht="26.4" customHeight="1">
      <c r="A79" s="97"/>
      <c r="B79" s="257">
        <f>B77+1</f>
        <v>33</v>
      </c>
      <c r="C79" s="258">
        <v>162751139</v>
      </c>
      <c r="D79" s="223" t="s">
        <v>139</v>
      </c>
      <c r="E79" s="222" t="s">
        <v>201</v>
      </c>
      <c r="F79" s="224">
        <f>F80</f>
        <v>955</v>
      </c>
      <c r="G79" s="225">
        <v>0</v>
      </c>
      <c r="H79" s="226">
        <f>F79*G79</f>
        <v>0</v>
      </c>
      <c r="I79" s="160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81"/>
    </row>
    <row r="80" spans="1:40" ht="11.4" customHeight="1">
      <c r="A80" s="97"/>
      <c r="B80" s="248"/>
      <c r="C80" s="249"/>
      <c r="D80" s="250" t="s">
        <v>245</v>
      </c>
      <c r="E80" s="249"/>
      <c r="F80" s="251">
        <f>5*F77</f>
        <v>955</v>
      </c>
      <c r="G80" s="252"/>
      <c r="H80" s="253"/>
      <c r="I80" s="160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284"/>
      <c r="AL80" s="284"/>
      <c r="AM80" s="284"/>
      <c r="AN80" s="286"/>
    </row>
    <row r="81" spans="1:40" ht="15.6" customHeight="1">
      <c r="A81" s="97"/>
      <c r="B81" s="257">
        <f>B79+1</f>
        <v>34</v>
      </c>
      <c r="C81" s="258">
        <v>167151102</v>
      </c>
      <c r="D81" s="223" t="s">
        <v>246</v>
      </c>
      <c r="E81" s="222" t="s">
        <v>201</v>
      </c>
      <c r="F81" s="224">
        <f>F82</f>
        <v>191</v>
      </c>
      <c r="G81" s="225">
        <v>0</v>
      </c>
      <c r="H81" s="226">
        <f>F81*G81</f>
        <v>0</v>
      </c>
      <c r="I81" s="160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81"/>
    </row>
    <row r="82" spans="1:40" ht="11.4" customHeight="1">
      <c r="A82" s="97"/>
      <c r="B82" s="259"/>
      <c r="C82" s="279"/>
      <c r="D82" s="250" t="s">
        <v>247</v>
      </c>
      <c r="E82" s="249"/>
      <c r="F82" s="251">
        <f>F74</f>
        <v>191</v>
      </c>
      <c r="G82" s="252"/>
      <c r="H82" s="253"/>
      <c r="I82" s="160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284"/>
      <c r="AL82" s="284"/>
      <c r="AM82" s="284"/>
      <c r="AN82" s="286"/>
    </row>
    <row r="83" spans="1:40" ht="15.6" customHeight="1">
      <c r="A83" s="97"/>
      <c r="B83" s="257">
        <f>B81+1</f>
        <v>35</v>
      </c>
      <c r="C83" s="258">
        <v>167151122</v>
      </c>
      <c r="D83" s="223" t="s">
        <v>142</v>
      </c>
      <c r="E83" s="222" t="s">
        <v>201</v>
      </c>
      <c r="F83" s="224">
        <f>F81</f>
        <v>191</v>
      </c>
      <c r="G83" s="225">
        <v>0</v>
      </c>
      <c r="H83" s="226">
        <f>F83*G83</f>
        <v>0</v>
      </c>
      <c r="I83" s="160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81"/>
    </row>
    <row r="84" spans="1:40" ht="15.6" customHeight="1">
      <c r="A84" s="97"/>
      <c r="B84" s="257">
        <f>B83+1</f>
        <v>36</v>
      </c>
      <c r="C84" s="258">
        <v>171251201</v>
      </c>
      <c r="D84" s="223" t="s">
        <v>143</v>
      </c>
      <c r="E84" s="222" t="s">
        <v>201</v>
      </c>
      <c r="F84" s="224">
        <f>F83</f>
        <v>191</v>
      </c>
      <c r="G84" s="225">
        <v>0</v>
      </c>
      <c r="H84" s="226">
        <f>F84*G84</f>
        <v>0</v>
      </c>
      <c r="I84" s="160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284"/>
      <c r="AL84" s="284"/>
      <c r="AM84" s="284"/>
      <c r="AN84" s="286"/>
    </row>
    <row r="85" spans="1:40" ht="13.2" customHeight="1">
      <c r="A85" s="97"/>
      <c r="B85" s="257">
        <f>B83+1</f>
        <v>36</v>
      </c>
      <c r="C85" s="258">
        <v>997013811</v>
      </c>
      <c r="D85" s="223" t="s">
        <v>248</v>
      </c>
      <c r="E85" s="222" t="s">
        <v>70</v>
      </c>
      <c r="F85" s="224">
        <f>((F67*0.3+F68*1)*2)+(F23*0.26)</f>
        <v>24.118</v>
      </c>
      <c r="G85" s="225">
        <v>0</v>
      </c>
      <c r="H85" s="226">
        <f>F85*G85</f>
        <v>0</v>
      </c>
      <c r="I85" s="160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81"/>
    </row>
    <row r="86" spans="1:40" ht="13.2" customHeight="1">
      <c r="A86" s="97"/>
      <c r="B86" s="257">
        <f>B84+1</f>
        <v>37</v>
      </c>
      <c r="C86" s="258">
        <v>171201221</v>
      </c>
      <c r="D86" s="223" t="s">
        <v>144</v>
      </c>
      <c r="E86" s="222" t="s">
        <v>70</v>
      </c>
      <c r="F86" s="224">
        <f>F84*1.8</f>
        <v>343.8</v>
      </c>
      <c r="G86" s="225">
        <v>0</v>
      </c>
      <c r="H86" s="226">
        <f>F86*G86</f>
        <v>0</v>
      </c>
      <c r="I86" s="160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284"/>
      <c r="AL86" s="284"/>
      <c r="AM86" s="284"/>
      <c r="AN86" s="286"/>
    </row>
    <row r="87" spans="1:40" ht="32.4" customHeight="1">
      <c r="A87" s="97"/>
      <c r="B87" s="295">
        <f>B86+1</f>
        <v>38</v>
      </c>
      <c r="C87" s="296">
        <v>43203003</v>
      </c>
      <c r="D87" s="232" t="s">
        <v>154</v>
      </c>
      <c r="E87" s="231" t="s">
        <v>148</v>
      </c>
      <c r="F87" s="233">
        <v>1</v>
      </c>
      <c r="G87" s="234">
        <v>0</v>
      </c>
      <c r="H87" s="235">
        <f>F87*G87</f>
        <v>0</v>
      </c>
      <c r="I87" s="160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67"/>
      <c r="AL87" s="67"/>
      <c r="AM87" s="67"/>
      <c r="AN87" s="81"/>
    </row>
    <row r="88" spans="1:40" ht="14.4" customHeight="1">
      <c r="A88" s="97"/>
      <c r="B88" s="203" t="s">
        <v>145</v>
      </c>
      <c r="C88" s="204"/>
      <c r="D88" s="204"/>
      <c r="E88" s="204"/>
      <c r="F88" s="204"/>
      <c r="G88" s="204"/>
      <c r="H88" s="205">
        <f>SUM(H89:H93)</f>
        <v>0</v>
      </c>
      <c r="I88" s="160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84"/>
      <c r="AL88" s="284"/>
      <c r="AM88" s="284"/>
      <c r="AN88" s="286"/>
    </row>
    <row r="89" spans="1:40" ht="13.2" customHeight="1">
      <c r="A89" s="97"/>
      <c r="B89" s="244">
        <f>B87+1</f>
        <v>39</v>
      </c>
      <c r="C89" s="245">
        <v>30001000</v>
      </c>
      <c r="D89" s="209" t="s">
        <v>147</v>
      </c>
      <c r="E89" s="208" t="s">
        <v>249</v>
      </c>
      <c r="F89" s="210">
        <v>1.5</v>
      </c>
      <c r="G89" s="211">
        <f>(H16+H20+H34+H66)</f>
        <v>0</v>
      </c>
      <c r="H89" s="212">
        <f>CEILING(G89*(F89/100),0.01)</f>
        <v>0</v>
      </c>
      <c r="I89" s="160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67"/>
      <c r="AH89" s="284"/>
      <c r="AI89" s="284"/>
      <c r="AJ89" s="284"/>
      <c r="AK89" s="67"/>
      <c r="AL89" s="67"/>
      <c r="AM89" s="67"/>
      <c r="AN89" s="81"/>
    </row>
    <row r="90" spans="1:40" ht="13.2" customHeight="1">
      <c r="A90" s="97"/>
      <c r="B90" s="257">
        <f>B89+1</f>
        <v>40</v>
      </c>
      <c r="C90" s="258">
        <v>65002000</v>
      </c>
      <c r="D90" s="223" t="s">
        <v>152</v>
      </c>
      <c r="E90" s="222" t="s">
        <v>148</v>
      </c>
      <c r="F90" s="224">
        <v>1</v>
      </c>
      <c r="G90" s="225">
        <v>0</v>
      </c>
      <c r="H90" s="226">
        <f>G90*F90</f>
        <v>0</v>
      </c>
      <c r="I90" s="160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84"/>
      <c r="AL90" s="284"/>
      <c r="AM90" s="284"/>
      <c r="AN90" s="286"/>
    </row>
    <row r="91" spans="1:40" ht="13.2" customHeight="1">
      <c r="A91" s="97"/>
      <c r="B91" s="257">
        <f>B90+1</f>
        <v>41</v>
      </c>
      <c r="C91" s="258">
        <v>13254000</v>
      </c>
      <c r="D91" s="223" t="s">
        <v>250</v>
      </c>
      <c r="E91" s="222" t="s">
        <v>148</v>
      </c>
      <c r="F91" s="224">
        <v>1</v>
      </c>
      <c r="G91" s="225">
        <v>0</v>
      </c>
      <c r="H91" s="226">
        <f>G91*(F91)</f>
        <v>0</v>
      </c>
      <c r="I91" s="160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67"/>
      <c r="AH91" s="67"/>
      <c r="AI91" s="67"/>
      <c r="AJ91" s="67"/>
      <c r="AK91" s="67"/>
      <c r="AL91" s="67"/>
      <c r="AM91" s="67"/>
      <c r="AN91" s="81"/>
    </row>
    <row r="92" spans="1:40" ht="13.2" customHeight="1">
      <c r="A92" s="97"/>
      <c r="B92" s="257">
        <f>B91+1</f>
        <v>42</v>
      </c>
      <c r="C92" s="258">
        <v>41903000</v>
      </c>
      <c r="D92" s="223" t="s">
        <v>251</v>
      </c>
      <c r="E92" s="222" t="s">
        <v>73</v>
      </c>
      <c r="F92" s="224">
        <v>16</v>
      </c>
      <c r="G92" s="225">
        <v>0</v>
      </c>
      <c r="H92" s="226">
        <f>F92*G92</f>
        <v>0</v>
      </c>
      <c r="I92" s="160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84"/>
      <c r="AL92" s="284"/>
      <c r="AM92" s="284"/>
      <c r="AN92" s="286"/>
    </row>
    <row r="93" spans="1:40" ht="13.8" customHeight="1">
      <c r="A93" s="97"/>
      <c r="B93" s="295">
        <f>B92+1</f>
        <v>43</v>
      </c>
      <c r="C93" s="296">
        <v>12002000</v>
      </c>
      <c r="D93" s="232" t="s">
        <v>252</v>
      </c>
      <c r="E93" s="231" t="s">
        <v>249</v>
      </c>
      <c r="F93" s="233">
        <v>1.5</v>
      </c>
      <c r="G93" s="234">
        <f>G89</f>
        <v>0</v>
      </c>
      <c r="H93" s="235">
        <f>CEILING(G93*(F93/100),0.01)</f>
        <v>0</v>
      </c>
      <c r="I93" s="160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67"/>
      <c r="AH93" s="67"/>
      <c r="AI93" s="67"/>
      <c r="AJ93" s="67"/>
      <c r="AK93" s="67"/>
      <c r="AL93" s="67"/>
      <c r="AM93" s="67"/>
      <c r="AN93" s="81"/>
    </row>
    <row r="94" spans="1:40" ht="14.4" customHeight="1">
      <c r="A94" s="168"/>
      <c r="B94" s="54"/>
      <c r="C94" s="54"/>
      <c r="D94" s="54"/>
      <c r="E94" s="54"/>
      <c r="F94" s="169"/>
      <c r="G94" s="297" t="s">
        <v>157</v>
      </c>
      <c r="H94" s="298">
        <f>SUM(H67:H87,H35:H64,H21:H33,H17:H19,H89:H93)</f>
        <v>0</v>
      </c>
      <c r="I94" s="160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1"/>
    </row>
    <row r="95" spans="1:40" ht="11.4" customHeight="1">
      <c r="A95" s="168"/>
      <c r="B95" s="59"/>
      <c r="C95" s="59"/>
      <c r="D95" s="67"/>
      <c r="E95" s="67"/>
      <c r="F95" s="67"/>
      <c r="G95" s="299"/>
      <c r="H95" s="299"/>
      <c r="I95" s="67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67"/>
      <c r="AH95" s="67"/>
      <c r="AI95" s="67"/>
      <c r="AJ95" s="67"/>
      <c r="AK95" s="67"/>
      <c r="AL95" s="67"/>
      <c r="AM95" s="67"/>
      <c r="AN95" s="81"/>
    </row>
    <row r="96" spans="1:40" ht="10.2" customHeight="1">
      <c r="A96" s="168"/>
      <c r="B96" s="59"/>
      <c r="C96" s="59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81"/>
    </row>
    <row r="97" spans="1:40" ht="11.4" customHeight="1">
      <c r="A97" s="176"/>
      <c r="B97" s="70"/>
      <c r="C97" s="70"/>
      <c r="D97" s="72"/>
      <c r="E97" s="72"/>
      <c r="F97" s="72"/>
      <c r="G97" s="72"/>
      <c r="H97" s="72"/>
      <c r="I97" s="72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72"/>
      <c r="AH97" s="72"/>
      <c r="AI97" s="72"/>
      <c r="AJ97" s="72"/>
      <c r="AK97" s="72"/>
      <c r="AL97" s="72"/>
      <c r="AM97" s="72"/>
      <c r="AN97" s="177"/>
    </row>
  </sheetData>
  <mergeCells count="37">
    <mergeCell ref="D22:E22"/>
    <mergeCell ref="D48:E48"/>
    <mergeCell ref="B88:G88"/>
    <mergeCell ref="D36:E36"/>
    <mergeCell ref="D62:E62"/>
    <mergeCell ref="D50:E50"/>
    <mergeCell ref="D28:E28"/>
    <mergeCell ref="D56:E56"/>
    <mergeCell ref="D31:E31"/>
    <mergeCell ref="B34:G34"/>
    <mergeCell ref="D33:E33"/>
    <mergeCell ref="D38:E38"/>
    <mergeCell ref="D40:E40"/>
    <mergeCell ref="D80:E80"/>
    <mergeCell ref="D4:E5"/>
    <mergeCell ref="B14:B15"/>
    <mergeCell ref="D14:D15"/>
    <mergeCell ref="E14:E15"/>
    <mergeCell ref="B16:G16"/>
    <mergeCell ref="F14:F15"/>
    <mergeCell ref="G14:H14"/>
    <mergeCell ref="S16:S20"/>
    <mergeCell ref="D74:E74"/>
    <mergeCell ref="D76:E76"/>
    <mergeCell ref="D78:E78"/>
    <mergeCell ref="D52:E52"/>
    <mergeCell ref="D54:E54"/>
    <mergeCell ref="D64:E64"/>
    <mergeCell ref="B66:G66"/>
    <mergeCell ref="D58:E58"/>
    <mergeCell ref="D60:E60"/>
    <mergeCell ref="D42:E42"/>
    <mergeCell ref="D44:E44"/>
    <mergeCell ref="D46:E46"/>
    <mergeCell ref="D26:E26"/>
    <mergeCell ref="D24:E24"/>
    <mergeCell ref="B20:G20"/>
  </mergeCells>
  <printOptions/>
  <pageMargins left="0.393701" right="0.393701" top="0.393701" bottom="0.393701" header="0" footer="0"/>
  <pageSetup fitToHeight="1" fitToWidth="1" horizontalDpi="600" verticalDpi="600" orientation="portrait"/>
  <headerFooter>
    <oddFooter>&amp;C&amp;"Arial CE,Regular"&amp;8&amp;K000000Strana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