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12000" activeTab="0"/>
  </bookViews>
  <sheets>
    <sheet name="Stavební rozpočet" sheetId="1" r:id="rId1"/>
    <sheet name="Krycí list rozpočtu" sheetId="2" r:id="rId2"/>
    <sheet name="VORN" sheetId="3" state="hidden" r:id="rId3"/>
  </sheets>
  <definedNames>
    <definedName name="vorn_sum">'VORN'!$I$36</definedName>
  </definedNames>
  <calcPr fullCalcOnLoad="1"/>
</workbook>
</file>

<file path=xl/sharedStrings.xml><?xml version="1.0" encoding="utf-8"?>
<sst xmlns="http://schemas.openxmlformats.org/spreadsheetml/2006/main" count="419" uniqueCount="164">
  <si>
    <t>Doba výstavby:</t>
  </si>
  <si>
    <t>Projektant</t>
  </si>
  <si>
    <t>Malby</t>
  </si>
  <si>
    <t>784011211RT3IM</t>
  </si>
  <si>
    <t>Základ 21%</t>
  </si>
  <si>
    <t>Dodávka</t>
  </si>
  <si>
    <t>NUS celkem z obj.</t>
  </si>
  <si>
    <t>612401391RT2IM</t>
  </si>
  <si>
    <t>998011019R00</t>
  </si>
  <si>
    <t>Název stavby:</t>
  </si>
  <si>
    <t>Ostatní materiál</t>
  </si>
  <si>
    <t>Č</t>
  </si>
  <si>
    <t>Poznámka:</t>
  </si>
  <si>
    <t>Lokalita:</t>
  </si>
  <si>
    <t>PSV</t>
  </si>
  <si>
    <t>Bez pevné podl.</t>
  </si>
  <si>
    <t>Celkem</t>
  </si>
  <si>
    <t>Zařízení staveniště</t>
  </si>
  <si>
    <t>998011002R00</t>
  </si>
  <si>
    <t>4</t>
  </si>
  <si>
    <t>Olepování vnitřních ploch</t>
  </si>
  <si>
    <t>Základní rozpočtové náklady</t>
  </si>
  <si>
    <t>6_</t>
  </si>
  <si>
    <t>Celkem bez DPH</t>
  </si>
  <si>
    <t>Vedlejší a ostatní rozpočtové náklady</t>
  </si>
  <si>
    <t>Hmotnost (t)</t>
  </si>
  <si>
    <t>6</t>
  </si>
  <si>
    <t>Rozpočtové náklady v Kč</t>
  </si>
  <si>
    <t>B</t>
  </si>
  <si>
    <t>Náklady na umístění stavby (NUS)</t>
  </si>
  <si>
    <t>Montáž</t>
  </si>
  <si>
    <t>Datum, razítko a podpis</t>
  </si>
  <si>
    <t>ZRN celkem</t>
  </si>
  <si>
    <t>Základna</t>
  </si>
  <si>
    <t>kus</t>
  </si>
  <si>
    <t>Přesun hmot, budovy zděné, příplatek do 5 km</t>
  </si>
  <si>
    <t>Dodávky</t>
  </si>
  <si>
    <t>soustava</t>
  </si>
  <si>
    <t>Ostatní mat.</t>
  </si>
  <si>
    <t>Cenová</t>
  </si>
  <si>
    <t>HSV prac</t>
  </si>
  <si>
    <t>"M"</t>
  </si>
  <si>
    <t>VORN celkem z obj.</t>
  </si>
  <si>
    <t>Krycí list rozpočtu</t>
  </si>
  <si>
    <t>Cena/MJ</t>
  </si>
  <si>
    <t>Konec výstavby:</t>
  </si>
  <si>
    <t>Přesun hmot pro budovy zděné výšky do 12 m</t>
  </si>
  <si>
    <t>Kód</t>
  </si>
  <si>
    <t>Jednot.</t>
  </si>
  <si>
    <t>MJ</t>
  </si>
  <si>
    <t>784402801R00IM</t>
  </si>
  <si>
    <t>9_</t>
  </si>
  <si>
    <t>Celkem ORN</t>
  </si>
  <si>
    <t>Doplňkové náklady</t>
  </si>
  <si>
    <t>PSV prac</t>
  </si>
  <si>
    <t>HSV</t>
  </si>
  <si>
    <t>784165512R00IM</t>
  </si>
  <si>
    <t>Vedlejší rozpočtové náklady VRN</t>
  </si>
  <si>
    <t>ISWORK</t>
  </si>
  <si>
    <t>Celkem včetně DPH</t>
  </si>
  <si>
    <t>Celkem NUS</t>
  </si>
  <si>
    <t>Základ 0%</t>
  </si>
  <si>
    <t>Tmelení trhlin v omítce š. do 4 mm akryl. tmelem</t>
  </si>
  <si>
    <t>Mont prac</t>
  </si>
  <si>
    <t>78_</t>
  </si>
  <si>
    <t>t</t>
  </si>
  <si>
    <t> </t>
  </si>
  <si>
    <t>Malba latexová 2x, 1barevná, místnost v. do 5 m</t>
  </si>
  <si>
    <t>JKSO:</t>
  </si>
  <si>
    <t>25.03.2024</t>
  </si>
  <si>
    <t>DN celkem</t>
  </si>
  <si>
    <t>GROUPCODE</t>
  </si>
  <si>
    <t>Provozní vlivy</t>
  </si>
  <si>
    <t>5</t>
  </si>
  <si>
    <t>784441020R00IM</t>
  </si>
  <si>
    <t>Stavební rozpočet</t>
  </si>
  <si>
    <t>Druh stavby:</t>
  </si>
  <si>
    <t>784</t>
  </si>
  <si>
    <t>Zpracováno dne:</t>
  </si>
  <si>
    <t>Množství</t>
  </si>
  <si>
    <t>VORN celkem</t>
  </si>
  <si>
    <t>Budovy občanské výstavby</t>
  </si>
  <si>
    <t>Typ skupiny</t>
  </si>
  <si>
    <t>Oprášení/ometení podkladu</t>
  </si>
  <si>
    <t>61_</t>
  </si>
  <si>
    <t>Odstranění malby oškrábáním v místnosti H do 3,8 m</t>
  </si>
  <si>
    <t>Broušení štuků a nových omítek</t>
  </si>
  <si>
    <t>784011121R00IM</t>
  </si>
  <si>
    <t>Přesun hmot, budovy zděné, přípl. za dalších 5 km</t>
  </si>
  <si>
    <t>C</t>
  </si>
  <si>
    <t>Náklady (Kč)</t>
  </si>
  <si>
    <t>IČO/DIČ:</t>
  </si>
  <si>
    <t>H01</t>
  </si>
  <si>
    <t>Ostatní</t>
  </si>
  <si>
    <t>Zpracoval:</t>
  </si>
  <si>
    <t>Zhotovitel</t>
  </si>
  <si>
    <t>784165622R00</t>
  </si>
  <si>
    <t>2</t>
  </si>
  <si>
    <t>Projektant:</t>
  </si>
  <si>
    <t/>
  </si>
  <si>
    <t>Úprava povrchů vnitřní</t>
  </si>
  <si>
    <t>Práce přesčas</t>
  </si>
  <si>
    <t>61</t>
  </si>
  <si>
    <t>Kulturní památka</t>
  </si>
  <si>
    <t>Objekt</t>
  </si>
  <si>
    <t>DPH 21%</t>
  </si>
  <si>
    <t>784011111R00IM</t>
  </si>
  <si>
    <t>_</t>
  </si>
  <si>
    <t>Přesuny</t>
  </si>
  <si>
    <t>MAT</t>
  </si>
  <si>
    <t>8</t>
  </si>
  <si>
    <t>Celkem:</t>
  </si>
  <si>
    <t>Mimostav. doprava</t>
  </si>
  <si>
    <t>DN celkem z obj.</t>
  </si>
  <si>
    <t>m</t>
  </si>
  <si>
    <t>Objednatel:</t>
  </si>
  <si>
    <t>PSV mat</t>
  </si>
  <si>
    <t>3</t>
  </si>
  <si>
    <t>Zhotovitel:</t>
  </si>
  <si>
    <t>%</t>
  </si>
  <si>
    <t>784_</t>
  </si>
  <si>
    <t>Začátek výstavby:</t>
  </si>
  <si>
    <t>A</t>
  </si>
  <si>
    <t>Mont mat</t>
  </si>
  <si>
    <t xml:space="preserve"> </t>
  </si>
  <si>
    <t>Objednatel</t>
  </si>
  <si>
    <t>(Kč)</t>
  </si>
  <si>
    <t>Územní vlivy</t>
  </si>
  <si>
    <t>Datum:</t>
  </si>
  <si>
    <t>m2</t>
  </si>
  <si>
    <t>Přesun hmot a sutí</t>
  </si>
  <si>
    <t>NUS z rozpočtu</t>
  </si>
  <si>
    <t>1</t>
  </si>
  <si>
    <t>7</t>
  </si>
  <si>
    <t>Rozměry</t>
  </si>
  <si>
    <t>Položek:</t>
  </si>
  <si>
    <t>NUS celkem</t>
  </si>
  <si>
    <t>WORK</t>
  </si>
  <si>
    <t>H01_</t>
  </si>
  <si>
    <t>Ostatní rozpočtové náklady ORN</t>
  </si>
  <si>
    <t>HSV mat</t>
  </si>
  <si>
    <t>Kč</t>
  </si>
  <si>
    <t>Celkem VRN</t>
  </si>
  <si>
    <t>Omítka vnitřních stěn Hasit vápenocem. jednovrstvá</t>
  </si>
  <si>
    <t>612475111RT2IM</t>
  </si>
  <si>
    <t>Ostatní rozpočtové náklady (ORN)</t>
  </si>
  <si>
    <t>Omítka malých ploch vnitřních stěn do 1 m2</t>
  </si>
  <si>
    <t>Celkem DN</t>
  </si>
  <si>
    <t>784191201R00IM</t>
  </si>
  <si>
    <t>Zkrácený popis</t>
  </si>
  <si>
    <t>CELK</t>
  </si>
  <si>
    <t>Doplňkové náklady DN</t>
  </si>
  <si>
    <t>784498931R00IM</t>
  </si>
  <si>
    <t>998011018R00</t>
  </si>
  <si>
    <t>RTS I / 2024</t>
  </si>
  <si>
    <t>Základ 12%</t>
  </si>
  <si>
    <t>DPH 12%</t>
  </si>
  <si>
    <t>784011222RT2</t>
  </si>
  <si>
    <t>Zakrytí podlah, včetně odstranění</t>
  </si>
  <si>
    <t>VÝMALBA MŠ POHÁDKA</t>
  </si>
  <si>
    <t>Bezručova 323/7, 400 01 Ústí nad Labem</t>
  </si>
  <si>
    <t>Penetrace podkladu hloubková 1x</t>
  </si>
  <si>
    <t>Malba, bílá, bez penetrace, 2 x</t>
  </si>
  <si>
    <t>Malba, barva, bez penetrace,2x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</si>
</sst>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4">
    <font>
      <sz val="8"/>
      <name val="Arial"/>
      <family val="0"/>
    </font>
    <font>
      <sz val="11"/>
      <name val="Calibri"/>
      <family val="0"/>
    </font>
    <font>
      <sz val="11"/>
      <color indexed="8"/>
      <name val="Aptos Narrow"/>
      <family val="2"/>
    </font>
    <font>
      <b/>
      <sz val="11"/>
      <color indexed="8"/>
      <name val="Aptos Narrow"/>
      <family val="2"/>
    </font>
    <font>
      <sz val="11"/>
      <color indexed="20"/>
      <name val="Aptos Narrow"/>
      <family val="2"/>
    </font>
    <font>
      <b/>
      <sz val="11"/>
      <color indexed="9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8"/>
      <color indexed="56"/>
      <name val="Aptos Display"/>
      <family val="2"/>
    </font>
    <font>
      <sz val="11"/>
      <color indexed="60"/>
      <name val="Aptos Narrow"/>
      <family val="2"/>
    </font>
    <font>
      <sz val="11"/>
      <color indexed="52"/>
      <name val="Aptos Narrow"/>
      <family val="2"/>
    </font>
    <font>
      <sz val="11"/>
      <color indexed="17"/>
      <name val="Aptos Narrow"/>
      <family val="2"/>
    </font>
    <font>
      <sz val="11"/>
      <color indexed="10"/>
      <name val="Aptos Narrow"/>
      <family val="2"/>
    </font>
    <font>
      <sz val="11"/>
      <color indexed="62"/>
      <name val="Aptos Narrow"/>
      <family val="2"/>
    </font>
    <font>
      <b/>
      <sz val="11"/>
      <color indexed="52"/>
      <name val="Aptos Narrow"/>
      <family val="2"/>
    </font>
    <font>
      <b/>
      <sz val="11"/>
      <color indexed="63"/>
      <name val="Aptos Narrow"/>
      <family val="2"/>
    </font>
    <font>
      <i/>
      <sz val="11"/>
      <color indexed="23"/>
      <name val="Aptos Narrow"/>
      <family val="2"/>
    </font>
    <font>
      <sz val="11"/>
      <color indexed="9"/>
      <name val="Aptos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20"/>
      <color indexed="8"/>
      <name val="Arial"/>
      <family val="0"/>
    </font>
    <font>
      <sz val="18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Aptos Narrow"/>
      <family val="2"/>
    </font>
    <font>
      <b/>
      <sz val="11"/>
      <color theme="1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8"/>
      <color theme="3"/>
      <name val="Aptos Display"/>
      <family val="2"/>
    </font>
    <font>
      <sz val="11"/>
      <color rgb="FF9C5700"/>
      <name val="Aptos Narrow"/>
      <family val="2"/>
    </font>
    <font>
      <sz val="11"/>
      <color rgb="FFFA7D00"/>
      <name val="Aptos Narrow"/>
      <family val="2"/>
    </font>
    <font>
      <sz val="11"/>
      <color rgb="FF006100"/>
      <name val="Aptos Narrow"/>
      <family val="2"/>
    </font>
    <font>
      <sz val="11"/>
      <color rgb="FF9C0006"/>
      <name val="Aptos Narrow"/>
      <family val="2"/>
    </font>
    <font>
      <sz val="11"/>
      <color rgb="FFFF0000"/>
      <name val="Aptos Narrow"/>
      <family val="2"/>
    </font>
    <font>
      <sz val="11"/>
      <color rgb="FF3F3F76"/>
      <name val="Aptos Narrow"/>
      <family val="2"/>
    </font>
    <font>
      <b/>
      <sz val="11"/>
      <color rgb="FFFA7D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1"/>
      <color theme="0"/>
      <name val="Aptos Narrow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sz val="12"/>
      <color rgb="FF000000"/>
      <name val="Arial"/>
      <family val="0"/>
    </font>
    <font>
      <i/>
      <sz val="8"/>
      <color rgb="FF000000"/>
      <name val="Arial"/>
      <family val="0"/>
    </font>
    <font>
      <b/>
      <sz val="12"/>
      <color rgb="FF000000"/>
      <name val="Arial"/>
      <family val="0"/>
    </font>
    <font>
      <b/>
      <sz val="20"/>
      <color rgb="FF000000"/>
      <name val="Arial"/>
      <family val="0"/>
    </font>
    <font>
      <sz val="18"/>
      <color rgb="FF000000"/>
      <name val="Arial"/>
      <family val="0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>
        <color rgb="FF000000"/>
      </left>
      <right style="thin">
        <color rgb="FF000000"/>
      </right>
      <top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2">
    <xf numFmtId="0" fontId="1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0" fontId="47" fillId="0" borderId="10" xfId="0" applyNumberFormat="1" applyFont="1" applyFill="1" applyBorder="1" applyAlignment="1" applyProtection="1">
      <alignment horizontal="right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0" fontId="45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right" vertical="center"/>
      <protection/>
    </xf>
    <xf numFmtId="0" fontId="46" fillId="0" borderId="13" xfId="0" applyNumberFormat="1" applyFont="1" applyFill="1" applyBorder="1" applyAlignment="1" applyProtection="1">
      <alignment horizontal="center" vertical="center"/>
      <protection/>
    </xf>
    <xf numFmtId="0" fontId="46" fillId="0" borderId="14" xfId="0" applyNumberFormat="1" applyFont="1" applyFill="1" applyBorder="1" applyAlignment="1" applyProtection="1">
      <alignment horizontal="center" vertical="center"/>
      <protection/>
    </xf>
    <xf numFmtId="0" fontId="46" fillId="0" borderId="12" xfId="0" applyNumberFormat="1" applyFont="1" applyFill="1" applyBorder="1" applyAlignment="1" applyProtection="1">
      <alignment horizontal="center" vertical="center"/>
      <protection/>
    </xf>
    <xf numFmtId="0" fontId="47" fillId="0" borderId="15" xfId="0" applyNumberFormat="1" applyFont="1" applyFill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4" fontId="47" fillId="0" borderId="10" xfId="0" applyNumberFormat="1" applyFont="1" applyFill="1" applyBorder="1" applyAlignment="1" applyProtection="1">
      <alignment horizontal="right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15" xfId="0" applyNumberFormat="1" applyFont="1" applyFill="1" applyBorder="1" applyAlignment="1" applyProtection="1">
      <alignment horizontal="left" vertical="center"/>
      <protection/>
    </xf>
    <xf numFmtId="4" fontId="45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4" fontId="45" fillId="0" borderId="16" xfId="0" applyNumberFormat="1" applyFont="1" applyFill="1" applyBorder="1" applyAlignment="1" applyProtection="1">
      <alignment horizontal="right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4" fontId="46" fillId="0" borderId="11" xfId="0" applyNumberFormat="1" applyFont="1" applyFill="1" applyBorder="1" applyAlignment="1" applyProtection="1">
      <alignment horizontal="right" vertical="center"/>
      <protection/>
    </xf>
    <xf numFmtId="0" fontId="46" fillId="0" borderId="18" xfId="0" applyNumberFormat="1" applyFont="1" applyFill="1" applyBorder="1" applyAlignment="1" applyProtection="1">
      <alignment horizontal="center" vertical="center"/>
      <protection/>
    </xf>
    <xf numFmtId="0" fontId="45" fillId="0" borderId="19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4" fontId="49" fillId="33" borderId="15" xfId="0" applyNumberFormat="1" applyFont="1" applyFill="1" applyBorder="1" applyAlignment="1" applyProtection="1">
      <alignment horizontal="right" vertical="center"/>
      <protection/>
    </xf>
    <xf numFmtId="0" fontId="46" fillId="33" borderId="10" xfId="0" applyNumberFormat="1" applyFont="1" applyFill="1" applyBorder="1" applyAlignment="1" applyProtection="1">
      <alignment horizontal="right" vertical="center"/>
      <protection/>
    </xf>
    <xf numFmtId="0" fontId="46" fillId="0" borderId="20" xfId="0" applyNumberFormat="1" applyFont="1" applyFill="1" applyBorder="1" applyAlignment="1" applyProtection="1">
      <alignment horizontal="left" vertical="center"/>
      <protection/>
    </xf>
    <xf numFmtId="0" fontId="46" fillId="0" borderId="21" xfId="0" applyNumberFormat="1" applyFont="1" applyFill="1" applyBorder="1" applyAlignment="1" applyProtection="1">
      <alignment horizontal="left" vertical="center"/>
      <protection/>
    </xf>
    <xf numFmtId="4" fontId="47" fillId="0" borderId="22" xfId="0" applyNumberFormat="1" applyFont="1" applyFill="1" applyBorder="1" applyAlignment="1" applyProtection="1">
      <alignment horizontal="right" vertical="center"/>
      <protection/>
    </xf>
    <xf numFmtId="0" fontId="45" fillId="0" borderId="23" xfId="0" applyNumberFormat="1" applyFont="1" applyFill="1" applyBorder="1" applyAlignment="1" applyProtection="1">
      <alignment horizontal="left" vertical="center"/>
      <protection/>
    </xf>
    <xf numFmtId="0" fontId="45" fillId="33" borderId="23" xfId="0" applyNumberFormat="1" applyFont="1" applyFill="1" applyBorder="1" applyAlignment="1" applyProtection="1">
      <alignment horizontal="left" vertical="center"/>
      <protection/>
    </xf>
    <xf numFmtId="4" fontId="45" fillId="0" borderId="15" xfId="0" applyNumberFormat="1" applyFont="1" applyFill="1" applyBorder="1" applyAlignment="1" applyProtection="1">
      <alignment horizontal="right" vertical="center"/>
      <protection/>
    </xf>
    <xf numFmtId="0" fontId="46" fillId="33" borderId="10" xfId="0" applyNumberFormat="1" applyFont="1" applyFill="1" applyBorder="1" applyAlignment="1" applyProtection="1">
      <alignment horizontal="righ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24" xfId="0" applyNumberFormat="1" applyFont="1" applyFill="1" applyBorder="1" applyAlignment="1" applyProtection="1">
      <alignment horizontal="center" vertical="center"/>
      <protection/>
    </xf>
    <xf numFmtId="4" fontId="47" fillId="0" borderId="12" xfId="0" applyNumberFormat="1" applyFont="1" applyFill="1" applyBorder="1" applyAlignment="1" applyProtection="1">
      <alignment horizontal="right" vertical="center"/>
      <protection/>
    </xf>
    <xf numFmtId="4" fontId="49" fillId="33" borderId="22" xfId="0" applyNumberFormat="1" applyFont="1" applyFill="1" applyBorder="1" applyAlignment="1" applyProtection="1">
      <alignment horizontal="right" vertical="center"/>
      <protection/>
    </xf>
    <xf numFmtId="0" fontId="49" fillId="0" borderId="25" xfId="0" applyNumberFormat="1" applyFont="1" applyFill="1" applyBorder="1" applyAlignment="1" applyProtection="1">
      <alignment horizontal="lef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10" xfId="0" applyNumberFormat="1" applyFont="1" applyFill="1" applyBorder="1" applyAlignment="1" applyProtection="1">
      <alignment horizontal="righ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4" fontId="47" fillId="0" borderId="15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26" xfId="0" applyNumberFormat="1" applyFont="1" applyFill="1" applyBorder="1" applyAlignment="1" applyProtection="1">
      <alignment horizontal="left" vertical="center"/>
      <protection/>
    </xf>
    <xf numFmtId="0" fontId="50" fillId="33" borderId="22" xfId="0" applyNumberFormat="1" applyFont="1" applyFill="1" applyBorder="1" applyAlignment="1" applyProtection="1">
      <alignment horizontal="center" vertical="center"/>
      <protection/>
    </xf>
    <xf numFmtId="0" fontId="50" fillId="33" borderId="27" xfId="0" applyNumberFormat="1" applyFont="1" applyFill="1" applyBorder="1" applyAlignment="1" applyProtection="1">
      <alignment horizontal="center" vertical="center"/>
      <protection/>
    </xf>
    <xf numFmtId="0" fontId="46" fillId="0" borderId="28" xfId="0" applyNumberFormat="1" applyFont="1" applyFill="1" applyBorder="1" applyAlignment="1" applyProtection="1">
      <alignment horizontal="righ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4" fontId="45" fillId="0" borderId="10" xfId="0" applyNumberFormat="1" applyFont="1" applyFill="1" applyBorder="1" applyAlignment="1" applyProtection="1">
      <alignment horizontal="right" vertical="center"/>
      <protection/>
    </xf>
    <xf numFmtId="0" fontId="46" fillId="0" borderId="21" xfId="0" applyNumberFormat="1" applyFont="1" applyFill="1" applyBorder="1" applyAlignment="1" applyProtection="1">
      <alignment horizontal="center" vertical="center"/>
      <protection/>
    </xf>
    <xf numFmtId="0" fontId="45" fillId="33" borderId="23" xfId="0" applyNumberFormat="1" applyFont="1" applyFill="1" applyBorder="1" applyAlignment="1" applyProtection="1">
      <alignment horizontal="left" vertical="center"/>
      <protection/>
    </xf>
    <xf numFmtId="0" fontId="49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right" vertical="center"/>
      <protection/>
    </xf>
    <xf numFmtId="0" fontId="45" fillId="0" borderId="23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4" fontId="45" fillId="0" borderId="0" xfId="0" applyNumberFormat="1" applyFont="1" applyFill="1" applyBorder="1" applyAlignment="1" applyProtection="1">
      <alignment horizontal="right" vertical="center"/>
      <protection locked="0"/>
    </xf>
    <xf numFmtId="0" fontId="45" fillId="33" borderId="0" xfId="0" applyNumberFormat="1" applyFont="1" applyFill="1" applyBorder="1" applyAlignment="1" applyProtection="1">
      <alignment horizontal="left" vertical="center"/>
      <protection locked="0"/>
    </xf>
    <xf numFmtId="4" fontId="45" fillId="0" borderId="16" xfId="0" applyNumberFormat="1" applyFont="1" applyFill="1" applyBorder="1" applyAlignment="1" applyProtection="1">
      <alignment horizontal="right" vertical="center"/>
      <protection locked="0"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  <xf numFmtId="0" fontId="45" fillId="0" borderId="23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23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33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21" xfId="0" applyNumberFormat="1" applyFont="1" applyFill="1" applyBorder="1" applyAlignment="1" applyProtection="1">
      <alignment horizontal="left" vertical="center"/>
      <protection/>
    </xf>
    <xf numFmtId="0" fontId="46" fillId="0" borderId="32" xfId="0" applyNumberFormat="1" applyFont="1" applyFill="1" applyBorder="1" applyAlignment="1" applyProtection="1">
      <alignment horizontal="left" vertical="center" wrapText="1"/>
      <protection/>
    </xf>
    <xf numFmtId="0" fontId="46" fillId="0" borderId="32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7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34" xfId="0" applyNumberFormat="1" applyFont="1" applyFill="1" applyBorder="1" applyAlignment="1" applyProtection="1">
      <alignment horizontal="center" vertical="center"/>
      <protection/>
    </xf>
    <xf numFmtId="0" fontId="46" fillId="0" borderId="35" xfId="0" applyNumberFormat="1" applyFont="1" applyFill="1" applyBorder="1" applyAlignment="1" applyProtection="1">
      <alignment horizontal="center" vertical="center"/>
      <protection/>
    </xf>
    <xf numFmtId="0" fontId="46" fillId="0" borderId="28" xfId="0" applyNumberFormat="1" applyFont="1" applyFill="1" applyBorder="1" applyAlignment="1" applyProtection="1">
      <alignment horizontal="center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19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 locked="0"/>
    </xf>
    <xf numFmtId="1" fontId="45" fillId="0" borderId="10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 wrapText="1"/>
      <protection/>
    </xf>
    <xf numFmtId="0" fontId="45" fillId="0" borderId="15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0" applyNumberFormat="1" applyFont="1" applyFill="1" applyBorder="1" applyAlignment="1" applyProtection="1">
      <alignment horizontal="left" vertical="center"/>
      <protection locked="0"/>
    </xf>
    <xf numFmtId="0" fontId="53" fillId="0" borderId="36" xfId="0" applyNumberFormat="1" applyFont="1" applyFill="1" applyBorder="1" applyAlignment="1" applyProtection="1">
      <alignment horizontal="left" vertical="center"/>
      <protection/>
    </xf>
    <xf numFmtId="0" fontId="53" fillId="0" borderId="22" xfId="0" applyNumberFormat="1" applyFont="1" applyFill="1" applyBorder="1" applyAlignment="1" applyProtection="1">
      <alignment horizontal="left" vertical="center"/>
      <protection/>
    </xf>
    <xf numFmtId="0" fontId="49" fillId="0" borderId="19" xfId="0" applyNumberFormat="1" applyFont="1" applyFill="1" applyBorder="1" applyAlignment="1" applyProtection="1">
      <alignment horizontal="left" vertical="center"/>
      <protection/>
    </xf>
    <xf numFmtId="0" fontId="49" fillId="0" borderId="15" xfId="0" applyNumberFormat="1" applyFont="1" applyFill="1" applyBorder="1" applyAlignment="1" applyProtection="1">
      <alignment horizontal="left" vertical="center"/>
      <protection/>
    </xf>
    <xf numFmtId="0" fontId="49" fillId="0" borderId="23" xfId="0" applyNumberFormat="1" applyFont="1" applyFill="1" applyBorder="1" applyAlignment="1" applyProtection="1">
      <alignment horizontal="left" vertical="center"/>
      <protection/>
    </xf>
    <xf numFmtId="0" fontId="49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37" xfId="0" applyNumberFormat="1" applyFont="1" applyFill="1" applyBorder="1" applyAlignment="1" applyProtection="1">
      <alignment horizontal="left" vertical="center"/>
      <protection/>
    </xf>
    <xf numFmtId="0" fontId="49" fillId="0" borderId="22" xfId="0" applyNumberFormat="1" applyFont="1" applyFill="1" applyBorder="1" applyAlignment="1" applyProtection="1">
      <alignment horizontal="left" vertical="center"/>
      <protection/>
    </xf>
    <xf numFmtId="0" fontId="47" fillId="0" borderId="16" xfId="0" applyNumberFormat="1" applyFont="1" applyFill="1" applyBorder="1" applyAlignment="1" applyProtection="1">
      <alignment horizontal="lef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36" xfId="0" applyNumberFormat="1" applyFont="1" applyFill="1" applyBorder="1" applyAlignment="1" applyProtection="1">
      <alignment horizontal="left" vertical="center"/>
      <protection/>
    </xf>
    <xf numFmtId="0" fontId="49" fillId="0" borderId="16" xfId="0" applyNumberFormat="1" applyFont="1" applyFill="1" applyBorder="1" applyAlignment="1" applyProtection="1">
      <alignment horizontal="left" vertical="center"/>
      <protection/>
    </xf>
    <xf numFmtId="0" fontId="49" fillId="33" borderId="37" xfId="0" applyNumberFormat="1" applyFont="1" applyFill="1" applyBorder="1" applyAlignment="1" applyProtection="1">
      <alignment horizontal="left" vertical="center"/>
      <protection/>
    </xf>
    <xf numFmtId="0" fontId="49" fillId="33" borderId="36" xfId="0" applyNumberFormat="1" applyFont="1" applyFill="1" applyBorder="1" applyAlignment="1" applyProtection="1">
      <alignment horizontal="left" vertical="center"/>
      <protection/>
    </xf>
    <xf numFmtId="0" fontId="49" fillId="33" borderId="19" xfId="0" applyNumberFormat="1" applyFont="1" applyFill="1" applyBorder="1" applyAlignment="1" applyProtection="1">
      <alignment horizontal="left" vertical="center"/>
      <protection/>
    </xf>
    <xf numFmtId="0" fontId="49" fillId="33" borderId="16" xfId="0" applyNumberFormat="1" applyFont="1" applyFill="1" applyBorder="1" applyAlignment="1" applyProtection="1">
      <alignment horizontal="left" vertical="center"/>
      <protection/>
    </xf>
    <xf numFmtId="0" fontId="47" fillId="0" borderId="38" xfId="0" applyNumberFormat="1" applyFont="1" applyFill="1" applyBorder="1" applyAlignment="1" applyProtection="1">
      <alignment horizontal="left" vertical="center"/>
      <protection/>
    </xf>
    <xf numFmtId="0" fontId="47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24" xfId="0" applyNumberFormat="1" applyFont="1" applyFill="1" applyBorder="1" applyAlignment="1" applyProtection="1">
      <alignment horizontal="left" vertical="center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0" fontId="47" fillId="0" borderId="39" xfId="0" applyNumberFormat="1" applyFont="1" applyFill="1" applyBorder="1" applyAlignment="1" applyProtection="1">
      <alignment horizontal="left" vertical="center"/>
      <protection/>
    </xf>
    <xf numFmtId="0" fontId="47" fillId="0" borderId="40" xfId="0" applyNumberFormat="1" applyFont="1" applyFill="1" applyBorder="1" applyAlignment="1" applyProtection="1">
      <alignment horizontal="left" vertical="center"/>
      <protection/>
    </xf>
    <xf numFmtId="0" fontId="47" fillId="0" borderId="41" xfId="0" applyNumberFormat="1" applyFont="1" applyFill="1" applyBorder="1" applyAlignment="1" applyProtection="1">
      <alignment horizontal="left" vertical="center"/>
      <protection/>
    </xf>
    <xf numFmtId="0" fontId="47" fillId="0" borderId="42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34" xfId="0" applyNumberFormat="1" applyFont="1" applyFill="1" applyBorder="1" applyAlignment="1" applyProtection="1">
      <alignment horizontal="left" vertical="center"/>
      <protection/>
    </xf>
    <xf numFmtId="0" fontId="46" fillId="0" borderId="35" xfId="0" applyNumberFormat="1" applyFont="1" applyFill="1" applyBorder="1" applyAlignment="1" applyProtection="1">
      <alignment horizontal="left" vertical="center"/>
      <protection/>
    </xf>
    <xf numFmtId="0" fontId="46" fillId="0" borderId="28" xfId="0" applyNumberFormat="1" applyFont="1" applyFill="1" applyBorder="1" applyAlignment="1" applyProtection="1">
      <alignment horizontal="left" vertical="center"/>
      <protection/>
    </xf>
    <xf numFmtId="0" fontId="46" fillId="0" borderId="43" xfId="0" applyNumberFormat="1" applyFont="1" applyFill="1" applyBorder="1" applyAlignment="1" applyProtection="1">
      <alignment horizontal="left" vertical="center"/>
      <protection/>
    </xf>
    <xf numFmtId="0" fontId="46" fillId="0" borderId="44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0" fontId="49" fillId="0" borderId="43" xfId="0" applyNumberFormat="1" applyFont="1" applyFill="1" applyBorder="1" applyAlignment="1" applyProtection="1">
      <alignment horizontal="left" vertical="center"/>
      <protection/>
    </xf>
    <xf numFmtId="0" fontId="49" fillId="0" borderId="44" xfId="0" applyNumberFormat="1" applyFont="1" applyFill="1" applyBorder="1" applyAlignment="1" applyProtection="1">
      <alignment horizontal="left" vertical="center"/>
      <protection/>
    </xf>
    <xf numFmtId="0" fontId="49" fillId="0" borderId="11" xfId="0" applyNumberFormat="1" applyFont="1" applyFill="1" applyBorder="1" applyAlignment="1" applyProtection="1">
      <alignment horizontal="left" vertical="center"/>
      <protection/>
    </xf>
    <xf numFmtId="4" fontId="49" fillId="0" borderId="44" xfId="0" applyNumberFormat="1" applyFont="1" applyFill="1" applyBorder="1" applyAlignment="1" applyProtection="1">
      <alignment horizontal="right" vertical="center"/>
      <protection/>
    </xf>
    <xf numFmtId="0" fontId="49" fillId="0" borderId="44" xfId="0" applyNumberFormat="1" applyFont="1" applyFill="1" applyBorder="1" applyAlignment="1" applyProtection="1">
      <alignment horizontal="right" vertical="center"/>
      <protection/>
    </xf>
    <xf numFmtId="0" fontId="49" fillId="0" borderId="11" xfId="0" applyNumberFormat="1" applyFont="1" applyFill="1" applyBorder="1" applyAlignment="1" applyProtection="1">
      <alignment horizontal="right" vertical="center"/>
      <protection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2"/>
  <sheetViews>
    <sheetView tabSelected="1" showOutlineSymbols="0" zoomScalePageLayoutView="0" workbookViewId="0" topLeftCell="A1">
      <pane ySplit="11" topLeftCell="A12" activePane="bottomLeft" state="frozen"/>
      <selection pane="topLeft" activeCell="A34" sqref="A34:N34"/>
      <selection pane="bottomLeft" activeCell="P22" sqref="P22"/>
    </sheetView>
  </sheetViews>
  <sheetFormatPr defaultColWidth="14.16015625" defaultRowHeight="15" customHeight="1"/>
  <cols>
    <col min="1" max="1" width="4.66015625" style="0" customWidth="1"/>
    <col min="2" max="2" width="8.83203125" style="0" customWidth="1"/>
    <col min="3" max="3" width="20.83203125" style="0" customWidth="1"/>
    <col min="4" max="4" width="1.66796875" style="0" customWidth="1"/>
    <col min="5" max="5" width="50.5" style="0" customWidth="1"/>
    <col min="6" max="6" width="5" style="0" customWidth="1"/>
    <col min="7" max="7" width="16.83203125" style="0" customWidth="1"/>
    <col min="8" max="8" width="14" style="0" customWidth="1"/>
    <col min="9" max="11" width="18.33203125" style="0" customWidth="1"/>
    <col min="12" max="13" width="13.66015625" style="0" customWidth="1"/>
    <col min="14" max="14" width="15.66015625" style="0" customWidth="1"/>
    <col min="15" max="24" width="14.16015625" style="0" customWidth="1"/>
    <col min="25" max="74" width="14.16015625" style="0" hidden="1" customWidth="1"/>
  </cols>
  <sheetData>
    <row r="1" spans="1:47" ht="30" customHeight="1">
      <c r="A1" s="62" t="s">
        <v>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AS1" s="2">
        <f>SUM(AJ1:AJ2)</f>
        <v>0</v>
      </c>
      <c r="AT1" s="2">
        <f>SUM(AK1:AK2)</f>
        <v>0</v>
      </c>
      <c r="AU1" s="2">
        <f>SUM(AL1:AL2)</f>
        <v>0</v>
      </c>
    </row>
    <row r="2" spans="1:14" ht="15" customHeight="1">
      <c r="A2" s="63" t="s">
        <v>9</v>
      </c>
      <c r="B2" s="64"/>
      <c r="C2" s="64"/>
      <c r="D2" s="74" t="s">
        <v>159</v>
      </c>
      <c r="E2" s="75"/>
      <c r="F2" s="75"/>
      <c r="G2" s="64" t="s">
        <v>0</v>
      </c>
      <c r="H2" s="64" t="s">
        <v>124</v>
      </c>
      <c r="I2" s="68" t="s">
        <v>115</v>
      </c>
      <c r="J2" s="64" t="s">
        <v>66</v>
      </c>
      <c r="K2" s="64"/>
      <c r="L2" s="64"/>
      <c r="M2" s="64"/>
      <c r="N2" s="70"/>
    </row>
    <row r="3" spans="1:14" ht="15" customHeight="1">
      <c r="A3" s="65"/>
      <c r="B3" s="66"/>
      <c r="C3" s="66"/>
      <c r="D3" s="76"/>
      <c r="E3" s="76"/>
      <c r="F3" s="76"/>
      <c r="G3" s="66"/>
      <c r="H3" s="66"/>
      <c r="I3" s="66"/>
      <c r="J3" s="66"/>
      <c r="K3" s="66"/>
      <c r="L3" s="66"/>
      <c r="M3" s="66"/>
      <c r="N3" s="71"/>
    </row>
    <row r="4" spans="1:14" ht="15" customHeight="1">
      <c r="A4" s="67" t="s">
        <v>76</v>
      </c>
      <c r="B4" s="66"/>
      <c r="C4" s="66"/>
      <c r="D4" s="69" t="s">
        <v>124</v>
      </c>
      <c r="E4" s="66"/>
      <c r="F4" s="66"/>
      <c r="G4" s="66" t="s">
        <v>121</v>
      </c>
      <c r="H4" s="66"/>
      <c r="I4" s="69" t="s">
        <v>98</v>
      </c>
      <c r="J4" s="66" t="s">
        <v>66</v>
      </c>
      <c r="K4" s="66"/>
      <c r="L4" s="66"/>
      <c r="M4" s="66"/>
      <c r="N4" s="71"/>
    </row>
    <row r="5" spans="1:14" ht="15" customHeight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71"/>
    </row>
    <row r="6" spans="1:14" ht="15" customHeight="1">
      <c r="A6" s="67" t="s">
        <v>13</v>
      </c>
      <c r="B6" s="66"/>
      <c r="C6" s="66"/>
      <c r="D6" s="69" t="s">
        <v>160</v>
      </c>
      <c r="E6" s="66"/>
      <c r="F6" s="66"/>
      <c r="G6" s="66" t="s">
        <v>45</v>
      </c>
      <c r="H6" s="66" t="s">
        <v>124</v>
      </c>
      <c r="I6" s="69" t="s">
        <v>118</v>
      </c>
      <c r="J6" s="66" t="s">
        <v>66</v>
      </c>
      <c r="K6" s="66"/>
      <c r="L6" s="66"/>
      <c r="M6" s="66"/>
      <c r="N6" s="71"/>
    </row>
    <row r="7" spans="1:14" ht="15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71"/>
    </row>
    <row r="8" spans="1:14" ht="15" customHeight="1">
      <c r="A8" s="67" t="s">
        <v>68</v>
      </c>
      <c r="B8" s="66"/>
      <c r="C8" s="66"/>
      <c r="D8" s="69" t="s">
        <v>124</v>
      </c>
      <c r="E8" s="66"/>
      <c r="F8" s="66"/>
      <c r="G8" s="66" t="s">
        <v>78</v>
      </c>
      <c r="H8" s="66" t="s">
        <v>69</v>
      </c>
      <c r="I8" s="69" t="s">
        <v>94</v>
      </c>
      <c r="J8" s="66" t="s">
        <v>66</v>
      </c>
      <c r="K8" s="66"/>
      <c r="L8" s="66"/>
      <c r="M8" s="66"/>
      <c r="N8" s="71"/>
    </row>
    <row r="9" spans="1:14" ht="15" customHeight="1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71"/>
    </row>
    <row r="10" spans="1:64" ht="15" customHeight="1">
      <c r="A10" s="27" t="s">
        <v>11</v>
      </c>
      <c r="B10" s="28" t="s">
        <v>104</v>
      </c>
      <c r="C10" s="28" t="s">
        <v>47</v>
      </c>
      <c r="D10" s="72" t="s">
        <v>149</v>
      </c>
      <c r="E10" s="73"/>
      <c r="F10" s="28" t="s">
        <v>49</v>
      </c>
      <c r="G10" s="53" t="s">
        <v>79</v>
      </c>
      <c r="H10" s="9" t="s">
        <v>44</v>
      </c>
      <c r="I10" s="79" t="s">
        <v>90</v>
      </c>
      <c r="J10" s="80"/>
      <c r="K10" s="81"/>
      <c r="L10" s="80" t="s">
        <v>25</v>
      </c>
      <c r="M10" s="80"/>
      <c r="N10" s="22" t="s">
        <v>39</v>
      </c>
      <c r="BK10" s="24" t="s">
        <v>58</v>
      </c>
      <c r="BL10" s="45" t="s">
        <v>71</v>
      </c>
    </row>
    <row r="11" spans="1:62" ht="15" customHeight="1">
      <c r="A11" s="47" t="s">
        <v>124</v>
      </c>
      <c r="B11" s="6" t="s">
        <v>124</v>
      </c>
      <c r="C11" s="6" t="s">
        <v>124</v>
      </c>
      <c r="D11" s="77" t="s">
        <v>134</v>
      </c>
      <c r="E11" s="78"/>
      <c r="F11" s="6" t="s">
        <v>124</v>
      </c>
      <c r="G11" s="6" t="s">
        <v>124</v>
      </c>
      <c r="H11" s="20" t="s">
        <v>126</v>
      </c>
      <c r="I11" s="8" t="s">
        <v>5</v>
      </c>
      <c r="J11" s="10" t="s">
        <v>30</v>
      </c>
      <c r="K11" s="36" t="s">
        <v>16</v>
      </c>
      <c r="L11" s="10" t="s">
        <v>48</v>
      </c>
      <c r="M11" s="20" t="s">
        <v>16</v>
      </c>
      <c r="N11" s="8" t="s">
        <v>37</v>
      </c>
      <c r="Z11" s="24" t="s">
        <v>108</v>
      </c>
      <c r="AA11" s="24" t="s">
        <v>82</v>
      </c>
      <c r="AB11" s="24" t="s">
        <v>140</v>
      </c>
      <c r="AC11" s="24" t="s">
        <v>40</v>
      </c>
      <c r="AD11" s="24" t="s">
        <v>116</v>
      </c>
      <c r="AE11" s="24" t="s">
        <v>54</v>
      </c>
      <c r="AF11" s="24" t="s">
        <v>123</v>
      </c>
      <c r="AG11" s="24" t="s">
        <v>63</v>
      </c>
      <c r="AH11" s="24" t="s">
        <v>38</v>
      </c>
      <c r="BH11" s="24" t="s">
        <v>109</v>
      </c>
      <c r="BI11" s="24" t="s">
        <v>137</v>
      </c>
      <c r="BJ11" s="24" t="s">
        <v>150</v>
      </c>
    </row>
    <row r="12" spans="1:47" ht="15" customHeight="1">
      <c r="A12" s="31" t="s">
        <v>99</v>
      </c>
      <c r="B12" s="46" t="s">
        <v>99</v>
      </c>
      <c r="C12" s="46" t="s">
        <v>102</v>
      </c>
      <c r="D12" s="82" t="s">
        <v>100</v>
      </c>
      <c r="E12" s="82"/>
      <c r="F12" s="42" t="s">
        <v>124</v>
      </c>
      <c r="G12" s="42" t="s">
        <v>124</v>
      </c>
      <c r="H12" s="42" t="s">
        <v>124</v>
      </c>
      <c r="I12" s="51">
        <f>SUM(I13:I14)</f>
        <v>0</v>
      </c>
      <c r="J12" s="51">
        <f>SUM(J13:J14)</f>
        <v>0</v>
      </c>
      <c r="K12" s="51">
        <f>SUM(K13:K14)</f>
        <v>0</v>
      </c>
      <c r="L12" s="5" t="s">
        <v>99</v>
      </c>
      <c r="M12" s="51">
        <f>SUM(M13:M14)</f>
        <v>1.19088</v>
      </c>
      <c r="N12" s="26" t="s">
        <v>99</v>
      </c>
      <c r="AI12" s="24" t="s">
        <v>99</v>
      </c>
      <c r="AS12" s="2">
        <f>SUM(AJ13:AJ14)</f>
        <v>0</v>
      </c>
      <c r="AT12" s="2">
        <f>SUM(AK13:AK14)</f>
        <v>0</v>
      </c>
      <c r="AU12" s="2">
        <f>SUM(AL13:AL14)</f>
        <v>0</v>
      </c>
    </row>
    <row r="13" spans="1:64" ht="15" customHeight="1">
      <c r="A13" s="30" t="s">
        <v>132</v>
      </c>
      <c r="B13" s="44" t="s">
        <v>99</v>
      </c>
      <c r="C13" s="44" t="s">
        <v>7</v>
      </c>
      <c r="D13" s="66" t="s">
        <v>146</v>
      </c>
      <c r="E13" s="66"/>
      <c r="F13" s="44" t="s">
        <v>34</v>
      </c>
      <c r="G13" s="17">
        <v>24</v>
      </c>
      <c r="H13" s="59">
        <v>0</v>
      </c>
      <c r="I13" s="17">
        <f>G13*AO13</f>
        <v>0</v>
      </c>
      <c r="J13" s="17">
        <f>G13*AP13</f>
        <v>0</v>
      </c>
      <c r="K13" s="17">
        <f>G13*H13</f>
        <v>0</v>
      </c>
      <c r="L13" s="17">
        <v>0.03562</v>
      </c>
      <c r="M13" s="17">
        <f>G13*L13</f>
        <v>0.85488</v>
      </c>
      <c r="N13" s="41" t="s">
        <v>154</v>
      </c>
      <c r="Z13" s="17">
        <f>IF(AQ13="5",BJ13,0)</f>
        <v>0</v>
      </c>
      <c r="AB13" s="17">
        <f>IF(AQ13="1",BH13,0)</f>
        <v>0</v>
      </c>
      <c r="AC13" s="17">
        <f>IF(AQ13="1",BI13,0)</f>
        <v>0</v>
      </c>
      <c r="AD13" s="17">
        <f>IF(AQ13="7",BH13,0)</f>
        <v>0</v>
      </c>
      <c r="AE13" s="17">
        <f>IF(AQ13="7",BI13,0)</f>
        <v>0</v>
      </c>
      <c r="AF13" s="17">
        <f>IF(AQ13="2",BH13,0)</f>
        <v>0</v>
      </c>
      <c r="AG13" s="17">
        <f>IF(AQ13="2",BI13,0)</f>
        <v>0</v>
      </c>
      <c r="AH13" s="17">
        <f>IF(AQ13="0",BJ13,0)</f>
        <v>0</v>
      </c>
      <c r="AI13" s="24" t="s">
        <v>99</v>
      </c>
      <c r="AJ13" s="17">
        <f>IF(AN13=0,K13,0)</f>
        <v>0</v>
      </c>
      <c r="AK13" s="17">
        <f>IF(AN13=15,K13,0)</f>
        <v>0</v>
      </c>
      <c r="AL13" s="17">
        <f>IF(AN13=21,K13,0)</f>
        <v>0</v>
      </c>
      <c r="AN13" s="17">
        <v>15</v>
      </c>
      <c r="AO13" s="17">
        <f>H13*0.358320298399711</f>
        <v>0</v>
      </c>
      <c r="AP13" s="17">
        <f>H13*(1-0.358320298399711)</f>
        <v>0</v>
      </c>
      <c r="AQ13" s="1" t="s">
        <v>132</v>
      </c>
      <c r="AV13" s="17">
        <f>AW13+AX13</f>
        <v>0</v>
      </c>
      <c r="AW13" s="17">
        <f>G13*AO13</f>
        <v>0</v>
      </c>
      <c r="AX13" s="17">
        <f>G13*AP13</f>
        <v>0</v>
      </c>
      <c r="AY13" s="1" t="s">
        <v>84</v>
      </c>
      <c r="AZ13" s="1" t="s">
        <v>22</v>
      </c>
      <c r="BA13" s="24" t="s">
        <v>107</v>
      </c>
      <c r="BC13" s="17">
        <f>AW13+AX13</f>
        <v>0</v>
      </c>
      <c r="BD13" s="17">
        <f>H13/(100-BE13)*100</f>
        <v>0</v>
      </c>
      <c r="BE13" s="17">
        <v>0</v>
      </c>
      <c r="BF13" s="17">
        <f>M13</f>
        <v>0.85488</v>
      </c>
      <c r="BH13" s="17">
        <f>G13*AO13</f>
        <v>0</v>
      </c>
      <c r="BI13" s="17">
        <f>G13*AP13</f>
        <v>0</v>
      </c>
      <c r="BJ13" s="17">
        <f>G13*H13</f>
        <v>0</v>
      </c>
      <c r="BK13" s="17"/>
      <c r="BL13" s="17">
        <v>61</v>
      </c>
    </row>
    <row r="14" spans="1:64" ht="15" customHeight="1">
      <c r="A14" s="30" t="s">
        <v>97</v>
      </c>
      <c r="B14" s="44" t="s">
        <v>99</v>
      </c>
      <c r="C14" s="44" t="s">
        <v>144</v>
      </c>
      <c r="D14" s="66" t="s">
        <v>143</v>
      </c>
      <c r="E14" s="66"/>
      <c r="F14" s="44" t="s">
        <v>129</v>
      </c>
      <c r="G14" s="17">
        <v>24</v>
      </c>
      <c r="H14" s="59">
        <v>0</v>
      </c>
      <c r="I14" s="17">
        <f>G14*AO14</f>
        <v>0</v>
      </c>
      <c r="J14" s="17">
        <f>G14*AP14</f>
        <v>0</v>
      </c>
      <c r="K14" s="17">
        <f>G14*H14</f>
        <v>0</v>
      </c>
      <c r="L14" s="17">
        <v>0.014</v>
      </c>
      <c r="M14" s="17">
        <f>G14*L14</f>
        <v>0.336</v>
      </c>
      <c r="N14" s="41" t="s">
        <v>154</v>
      </c>
      <c r="Z14" s="17">
        <f>IF(AQ14="5",BJ14,0)</f>
        <v>0</v>
      </c>
      <c r="AB14" s="17">
        <f>IF(AQ14="1",BH14,0)</f>
        <v>0</v>
      </c>
      <c r="AC14" s="17">
        <f>IF(AQ14="1",BI14,0)</f>
        <v>0</v>
      </c>
      <c r="AD14" s="17">
        <f>IF(AQ14="7",BH14,0)</f>
        <v>0</v>
      </c>
      <c r="AE14" s="17">
        <f>IF(AQ14="7",BI14,0)</f>
        <v>0</v>
      </c>
      <c r="AF14" s="17">
        <f>IF(AQ14="2",BH14,0)</f>
        <v>0</v>
      </c>
      <c r="AG14" s="17">
        <f>IF(AQ14="2",BI14,0)</f>
        <v>0</v>
      </c>
      <c r="AH14" s="17">
        <f>IF(AQ14="0",BJ14,0)</f>
        <v>0</v>
      </c>
      <c r="AI14" s="24" t="s">
        <v>99</v>
      </c>
      <c r="AJ14" s="17">
        <f>IF(AN14=0,K14,0)</f>
        <v>0</v>
      </c>
      <c r="AK14" s="17">
        <f>IF(AN14=15,K14,0)</f>
        <v>0</v>
      </c>
      <c r="AL14" s="17">
        <f>IF(AN14=21,K14,0)</f>
        <v>0</v>
      </c>
      <c r="AN14" s="17">
        <v>15</v>
      </c>
      <c r="AO14" s="17">
        <f>H14*0.326345811051693</f>
        <v>0</v>
      </c>
      <c r="AP14" s="17">
        <f>H14*(1-0.326345811051693)</f>
        <v>0</v>
      </c>
      <c r="AQ14" s="1" t="s">
        <v>132</v>
      </c>
      <c r="AV14" s="17">
        <f>AW14+AX14</f>
        <v>0</v>
      </c>
      <c r="AW14" s="17">
        <f>G14*AO14</f>
        <v>0</v>
      </c>
      <c r="AX14" s="17">
        <f>G14*AP14</f>
        <v>0</v>
      </c>
      <c r="AY14" s="1" t="s">
        <v>84</v>
      </c>
      <c r="AZ14" s="1" t="s">
        <v>22</v>
      </c>
      <c r="BA14" s="24" t="s">
        <v>107</v>
      </c>
      <c r="BC14" s="17">
        <f>AW14+AX14</f>
        <v>0</v>
      </c>
      <c r="BD14" s="17">
        <f>H14/(100-BE14)*100</f>
        <v>0</v>
      </c>
      <c r="BE14" s="17">
        <v>0</v>
      </c>
      <c r="BF14" s="17">
        <f>M14</f>
        <v>0.336</v>
      </c>
      <c r="BH14" s="17">
        <f>G14*AO14</f>
        <v>0</v>
      </c>
      <c r="BI14" s="17">
        <f>G14*AP14</f>
        <v>0</v>
      </c>
      <c r="BJ14" s="17">
        <f>G14*H14</f>
        <v>0</v>
      </c>
      <c r="BK14" s="17"/>
      <c r="BL14" s="17">
        <v>61</v>
      </c>
    </row>
    <row r="15" spans="1:47" ht="15" customHeight="1">
      <c r="A15" s="54" t="s">
        <v>99</v>
      </c>
      <c r="B15" s="15" t="s">
        <v>99</v>
      </c>
      <c r="C15" s="15" t="s">
        <v>77</v>
      </c>
      <c r="D15" s="82" t="s">
        <v>2</v>
      </c>
      <c r="E15" s="82"/>
      <c r="F15" s="34" t="s">
        <v>124</v>
      </c>
      <c r="G15" s="34" t="s">
        <v>124</v>
      </c>
      <c r="H15" s="60" t="s">
        <v>124</v>
      </c>
      <c r="I15" s="2">
        <f>SUM(I16:I24)</f>
        <v>0</v>
      </c>
      <c r="J15" s="2">
        <f>SUM(J16:J24)</f>
        <v>0</v>
      </c>
      <c r="K15" s="2">
        <f>SUM(K16:K24)</f>
        <v>0</v>
      </c>
      <c r="L15" s="24" t="s">
        <v>99</v>
      </c>
      <c r="M15" s="2">
        <f>SUM(M16:M25)</f>
        <v>0.88047</v>
      </c>
      <c r="N15" s="33" t="s">
        <v>99</v>
      </c>
      <c r="AI15" s="24" t="s">
        <v>99</v>
      </c>
      <c r="AS15" s="2">
        <f>SUM(AJ16:AJ24)</f>
        <v>0</v>
      </c>
      <c r="AT15" s="2">
        <f>SUM(AK16:AK24)</f>
        <v>0</v>
      </c>
      <c r="AU15" s="2">
        <f>SUM(AL16:AL24)</f>
        <v>0</v>
      </c>
    </row>
    <row r="16" spans="1:64" ht="15" customHeight="1">
      <c r="A16" s="30" t="s">
        <v>117</v>
      </c>
      <c r="B16" s="44" t="s">
        <v>99</v>
      </c>
      <c r="C16" s="44" t="s">
        <v>148</v>
      </c>
      <c r="D16" s="66" t="s">
        <v>161</v>
      </c>
      <c r="E16" s="66"/>
      <c r="F16" s="44" t="s">
        <v>129</v>
      </c>
      <c r="G16" s="17">
        <v>1156</v>
      </c>
      <c r="H16" s="59">
        <v>0</v>
      </c>
      <c r="I16" s="17">
        <f aca="true" t="shared" si="0" ref="I16:I24">G16*AO16</f>
        <v>0</v>
      </c>
      <c r="J16" s="17">
        <f aca="true" t="shared" si="1" ref="J16:J24">G16*AP16</f>
        <v>0</v>
      </c>
      <c r="K16" s="17">
        <f aca="true" t="shared" si="2" ref="K16:K25">G16*H16</f>
        <v>0</v>
      </c>
      <c r="L16" s="17">
        <v>7E-05</v>
      </c>
      <c r="M16" s="17">
        <f aca="true" t="shared" si="3" ref="M16:M25">G16*L16</f>
        <v>0.08091999999999999</v>
      </c>
      <c r="N16" s="41" t="s">
        <v>154</v>
      </c>
      <c r="Z16" s="17">
        <f aca="true" t="shared" si="4" ref="Z16:Z24">IF(AQ16="5",BJ16,0)</f>
        <v>0</v>
      </c>
      <c r="AB16" s="17">
        <f aca="true" t="shared" si="5" ref="AB16:AB24">IF(AQ16="1",BH16,0)</f>
        <v>0</v>
      </c>
      <c r="AC16" s="17">
        <f aca="true" t="shared" si="6" ref="AC16:AC24">IF(AQ16="1",BI16,0)</f>
        <v>0</v>
      </c>
      <c r="AD16" s="17">
        <f aca="true" t="shared" si="7" ref="AD16:AD24">IF(AQ16="7",BH16,0)</f>
        <v>0</v>
      </c>
      <c r="AE16" s="17">
        <f aca="true" t="shared" si="8" ref="AE16:AE24">IF(AQ16="7",BI16,0)</f>
        <v>0</v>
      </c>
      <c r="AF16" s="17">
        <f aca="true" t="shared" si="9" ref="AF16:AF24">IF(AQ16="2",BH16,0)</f>
        <v>0</v>
      </c>
      <c r="AG16" s="17">
        <f aca="true" t="shared" si="10" ref="AG16:AG24">IF(AQ16="2",BI16,0)</f>
        <v>0</v>
      </c>
      <c r="AH16" s="17">
        <f aca="true" t="shared" si="11" ref="AH16:AH24">IF(AQ16="0",BJ16,0)</f>
        <v>0</v>
      </c>
      <c r="AI16" s="24" t="s">
        <v>99</v>
      </c>
      <c r="AJ16" s="17">
        <f aca="true" t="shared" si="12" ref="AJ16:AJ24">IF(AN16=0,K16,0)</f>
        <v>0</v>
      </c>
      <c r="AK16" s="17">
        <f aca="true" t="shared" si="13" ref="AK16:AK24">IF(AN16=15,K16,0)</f>
        <v>0</v>
      </c>
      <c r="AL16" s="17">
        <f aca="true" t="shared" si="14" ref="AL16:AL24">IF(AN16=21,K16,0)</f>
        <v>0</v>
      </c>
      <c r="AN16" s="17">
        <v>15</v>
      </c>
      <c r="AO16" s="17">
        <f>H16*0.297233201581028</f>
        <v>0</v>
      </c>
      <c r="AP16" s="17">
        <f>H16*(1-0.297233201581028)</f>
        <v>0</v>
      </c>
      <c r="AQ16" s="1" t="s">
        <v>133</v>
      </c>
      <c r="AV16" s="17">
        <f aca="true" t="shared" si="15" ref="AV16:AV24">AW16+AX16</f>
        <v>0</v>
      </c>
      <c r="AW16" s="17">
        <f aca="true" t="shared" si="16" ref="AW16:AW24">G16*AO16</f>
        <v>0</v>
      </c>
      <c r="AX16" s="17">
        <f aca="true" t="shared" si="17" ref="AX16:AX24">G16*AP16</f>
        <v>0</v>
      </c>
      <c r="AY16" s="1" t="s">
        <v>120</v>
      </c>
      <c r="AZ16" s="1" t="s">
        <v>64</v>
      </c>
      <c r="BA16" s="24" t="s">
        <v>107</v>
      </c>
      <c r="BC16" s="17">
        <f aca="true" t="shared" si="18" ref="BC16:BC24">AW16+AX16</f>
        <v>0</v>
      </c>
      <c r="BD16" s="17">
        <f aca="true" t="shared" si="19" ref="BD16:BD24">H16/(100-BE16)*100</f>
        <v>0</v>
      </c>
      <c r="BE16" s="17">
        <v>0</v>
      </c>
      <c r="BF16" s="17">
        <f aca="true" t="shared" si="20" ref="BF16:BF24">M16</f>
        <v>0.08091999999999999</v>
      </c>
      <c r="BH16" s="17">
        <f aca="true" t="shared" si="21" ref="BH16:BH24">G16*AO16</f>
        <v>0</v>
      </c>
      <c r="BI16" s="17">
        <f aca="true" t="shared" si="22" ref="BI16:BI24">G16*AP16</f>
        <v>0</v>
      </c>
      <c r="BJ16" s="17">
        <f aca="true" t="shared" si="23" ref="BJ16:BJ24">G16*H16</f>
        <v>0</v>
      </c>
      <c r="BK16" s="17"/>
      <c r="BL16" s="17">
        <v>784</v>
      </c>
    </row>
    <row r="17" spans="1:64" ht="15" customHeight="1">
      <c r="A17" s="30" t="s">
        <v>19</v>
      </c>
      <c r="B17" s="44" t="s">
        <v>99</v>
      </c>
      <c r="C17" s="44" t="s">
        <v>50</v>
      </c>
      <c r="D17" s="66" t="s">
        <v>85</v>
      </c>
      <c r="E17" s="66"/>
      <c r="F17" s="44" t="s">
        <v>129</v>
      </c>
      <c r="G17" s="17">
        <v>350</v>
      </c>
      <c r="H17" s="59">
        <v>0</v>
      </c>
      <c r="I17" s="17">
        <f t="shared" si="0"/>
        <v>0</v>
      </c>
      <c r="J17" s="17">
        <f t="shared" si="1"/>
        <v>0</v>
      </c>
      <c r="K17" s="17">
        <f t="shared" si="2"/>
        <v>0</v>
      </c>
      <c r="L17" s="17">
        <v>0</v>
      </c>
      <c r="M17" s="17">
        <f t="shared" si="3"/>
        <v>0</v>
      </c>
      <c r="N17" s="41" t="s">
        <v>154</v>
      </c>
      <c r="Z17" s="17">
        <f t="shared" si="4"/>
        <v>0</v>
      </c>
      <c r="AB17" s="17">
        <f t="shared" si="5"/>
        <v>0</v>
      </c>
      <c r="AC17" s="17">
        <f t="shared" si="6"/>
        <v>0</v>
      </c>
      <c r="AD17" s="17">
        <f t="shared" si="7"/>
        <v>0</v>
      </c>
      <c r="AE17" s="17">
        <f t="shared" si="8"/>
        <v>0</v>
      </c>
      <c r="AF17" s="17">
        <f t="shared" si="9"/>
        <v>0</v>
      </c>
      <c r="AG17" s="17">
        <f t="shared" si="10"/>
        <v>0</v>
      </c>
      <c r="AH17" s="17">
        <f t="shared" si="11"/>
        <v>0</v>
      </c>
      <c r="AI17" s="24" t="s">
        <v>99</v>
      </c>
      <c r="AJ17" s="17">
        <f t="shared" si="12"/>
        <v>0</v>
      </c>
      <c r="AK17" s="17">
        <f t="shared" si="13"/>
        <v>0</v>
      </c>
      <c r="AL17" s="17">
        <f t="shared" si="14"/>
        <v>0</v>
      </c>
      <c r="AN17" s="17">
        <v>15</v>
      </c>
      <c r="AO17" s="17">
        <f>H17*0.00270869244028564</f>
        <v>0</v>
      </c>
      <c r="AP17" s="17">
        <f>H17*(1-0.00270869244028564)</f>
        <v>0</v>
      </c>
      <c r="AQ17" s="1" t="s">
        <v>133</v>
      </c>
      <c r="AV17" s="17">
        <f t="shared" si="15"/>
        <v>0</v>
      </c>
      <c r="AW17" s="17">
        <f t="shared" si="16"/>
        <v>0</v>
      </c>
      <c r="AX17" s="17">
        <f t="shared" si="17"/>
        <v>0</v>
      </c>
      <c r="AY17" s="1" t="s">
        <v>120</v>
      </c>
      <c r="AZ17" s="1" t="s">
        <v>64</v>
      </c>
      <c r="BA17" s="24" t="s">
        <v>107</v>
      </c>
      <c r="BC17" s="17">
        <f t="shared" si="18"/>
        <v>0</v>
      </c>
      <c r="BD17" s="17">
        <f t="shared" si="19"/>
        <v>0</v>
      </c>
      <c r="BE17" s="17">
        <v>0</v>
      </c>
      <c r="BF17" s="17">
        <f t="shared" si="20"/>
        <v>0</v>
      </c>
      <c r="BH17" s="17">
        <f t="shared" si="21"/>
        <v>0</v>
      </c>
      <c r="BI17" s="17">
        <f t="shared" si="22"/>
        <v>0</v>
      </c>
      <c r="BJ17" s="17">
        <f t="shared" si="23"/>
        <v>0</v>
      </c>
      <c r="BK17" s="17"/>
      <c r="BL17" s="17">
        <v>784</v>
      </c>
    </row>
    <row r="18" spans="1:64" ht="15" customHeight="1">
      <c r="A18" s="30" t="s">
        <v>73</v>
      </c>
      <c r="B18" s="44" t="s">
        <v>99</v>
      </c>
      <c r="C18" s="44" t="s">
        <v>56</v>
      </c>
      <c r="D18" s="66" t="s">
        <v>162</v>
      </c>
      <c r="E18" s="66"/>
      <c r="F18" s="44" t="s">
        <v>129</v>
      </c>
      <c r="G18" s="17">
        <v>373</v>
      </c>
      <c r="H18" s="59">
        <v>0</v>
      </c>
      <c r="I18" s="17">
        <f t="shared" si="0"/>
        <v>0</v>
      </c>
      <c r="J18" s="17">
        <f t="shared" si="1"/>
        <v>0</v>
      </c>
      <c r="K18" s="17">
        <f t="shared" si="2"/>
        <v>0</v>
      </c>
      <c r="L18" s="17">
        <v>0.00046</v>
      </c>
      <c r="M18" s="17">
        <f t="shared" si="3"/>
        <v>0.17158</v>
      </c>
      <c r="N18" s="41" t="s">
        <v>154</v>
      </c>
      <c r="Z18" s="17">
        <f t="shared" si="4"/>
        <v>0</v>
      </c>
      <c r="AB18" s="17">
        <f t="shared" si="5"/>
        <v>0</v>
      </c>
      <c r="AC18" s="17">
        <f t="shared" si="6"/>
        <v>0</v>
      </c>
      <c r="AD18" s="17">
        <f t="shared" si="7"/>
        <v>0</v>
      </c>
      <c r="AE18" s="17">
        <f t="shared" si="8"/>
        <v>0</v>
      </c>
      <c r="AF18" s="17">
        <f t="shared" si="9"/>
        <v>0</v>
      </c>
      <c r="AG18" s="17">
        <f t="shared" si="10"/>
        <v>0</v>
      </c>
      <c r="AH18" s="17">
        <f t="shared" si="11"/>
        <v>0</v>
      </c>
      <c r="AI18" s="24" t="s">
        <v>99</v>
      </c>
      <c r="AJ18" s="17">
        <f t="shared" si="12"/>
        <v>0</v>
      </c>
      <c r="AK18" s="17">
        <f t="shared" si="13"/>
        <v>0</v>
      </c>
      <c r="AL18" s="17">
        <f t="shared" si="14"/>
        <v>0</v>
      </c>
      <c r="AN18" s="17">
        <v>15</v>
      </c>
      <c r="AO18" s="17">
        <f>H18*0.2604</f>
        <v>0</v>
      </c>
      <c r="AP18" s="17">
        <f>H18*(1-0.2604)</f>
        <v>0</v>
      </c>
      <c r="AQ18" s="1" t="s">
        <v>133</v>
      </c>
      <c r="AV18" s="17">
        <f t="shared" si="15"/>
        <v>0</v>
      </c>
      <c r="AW18" s="17">
        <f t="shared" si="16"/>
        <v>0</v>
      </c>
      <c r="AX18" s="17">
        <f t="shared" si="17"/>
        <v>0</v>
      </c>
      <c r="AY18" s="1" t="s">
        <v>120</v>
      </c>
      <c r="AZ18" s="1" t="s">
        <v>64</v>
      </c>
      <c r="BA18" s="24" t="s">
        <v>107</v>
      </c>
      <c r="BC18" s="17">
        <f t="shared" si="18"/>
        <v>0</v>
      </c>
      <c r="BD18" s="17">
        <f t="shared" si="19"/>
        <v>0</v>
      </c>
      <c r="BE18" s="17">
        <v>0</v>
      </c>
      <c r="BF18" s="17">
        <f t="shared" si="20"/>
        <v>0.17158</v>
      </c>
      <c r="BH18" s="17">
        <f t="shared" si="21"/>
        <v>0</v>
      </c>
      <c r="BI18" s="17">
        <f t="shared" si="22"/>
        <v>0</v>
      </c>
      <c r="BJ18" s="17">
        <f t="shared" si="23"/>
        <v>0</v>
      </c>
      <c r="BK18" s="17"/>
      <c r="BL18" s="17">
        <v>784</v>
      </c>
    </row>
    <row r="19" spans="1:64" ht="15" customHeight="1">
      <c r="A19" s="30" t="s">
        <v>26</v>
      </c>
      <c r="B19" s="44" t="s">
        <v>99</v>
      </c>
      <c r="C19" s="44" t="s">
        <v>106</v>
      </c>
      <c r="D19" s="66" t="s">
        <v>83</v>
      </c>
      <c r="E19" s="66"/>
      <c r="F19" s="44" t="s">
        <v>129</v>
      </c>
      <c r="G19" s="17">
        <v>1156</v>
      </c>
      <c r="H19" s="59">
        <v>0</v>
      </c>
      <c r="I19" s="17">
        <f t="shared" si="0"/>
        <v>0</v>
      </c>
      <c r="J19" s="17">
        <f t="shared" si="1"/>
        <v>0</v>
      </c>
      <c r="K19" s="17">
        <f t="shared" si="2"/>
        <v>0</v>
      </c>
      <c r="L19" s="17">
        <v>0</v>
      </c>
      <c r="M19" s="17">
        <f t="shared" si="3"/>
        <v>0</v>
      </c>
      <c r="N19" s="41" t="s">
        <v>154</v>
      </c>
      <c r="Z19" s="17">
        <f t="shared" si="4"/>
        <v>0</v>
      </c>
      <c r="AB19" s="17">
        <f t="shared" si="5"/>
        <v>0</v>
      </c>
      <c r="AC19" s="17">
        <f t="shared" si="6"/>
        <v>0</v>
      </c>
      <c r="AD19" s="17">
        <f t="shared" si="7"/>
        <v>0</v>
      </c>
      <c r="AE19" s="17">
        <f t="shared" si="8"/>
        <v>0</v>
      </c>
      <c r="AF19" s="17">
        <f t="shared" si="9"/>
        <v>0</v>
      </c>
      <c r="AG19" s="17">
        <f t="shared" si="10"/>
        <v>0</v>
      </c>
      <c r="AH19" s="17">
        <f t="shared" si="11"/>
        <v>0</v>
      </c>
      <c r="AI19" s="24" t="s">
        <v>99</v>
      </c>
      <c r="AJ19" s="17">
        <f t="shared" si="12"/>
        <v>0</v>
      </c>
      <c r="AK19" s="17">
        <f t="shared" si="13"/>
        <v>0</v>
      </c>
      <c r="AL19" s="17">
        <f t="shared" si="14"/>
        <v>0</v>
      </c>
      <c r="AN19" s="17">
        <v>15</v>
      </c>
      <c r="AO19" s="17">
        <f>H19*0</f>
        <v>0</v>
      </c>
      <c r="AP19" s="17">
        <f>H19*(1-0)</f>
        <v>0</v>
      </c>
      <c r="AQ19" s="1" t="s">
        <v>133</v>
      </c>
      <c r="AV19" s="17">
        <f t="shared" si="15"/>
        <v>0</v>
      </c>
      <c r="AW19" s="17">
        <f t="shared" si="16"/>
        <v>0</v>
      </c>
      <c r="AX19" s="17">
        <f t="shared" si="17"/>
        <v>0</v>
      </c>
      <c r="AY19" s="1" t="s">
        <v>120</v>
      </c>
      <c r="AZ19" s="1" t="s">
        <v>64</v>
      </c>
      <c r="BA19" s="24" t="s">
        <v>107</v>
      </c>
      <c r="BC19" s="17">
        <f t="shared" si="18"/>
        <v>0</v>
      </c>
      <c r="BD19" s="17">
        <f t="shared" si="19"/>
        <v>0</v>
      </c>
      <c r="BE19" s="17">
        <v>0</v>
      </c>
      <c r="BF19" s="17">
        <f t="shared" si="20"/>
        <v>0</v>
      </c>
      <c r="BH19" s="17">
        <f t="shared" si="21"/>
        <v>0</v>
      </c>
      <c r="BI19" s="17">
        <f t="shared" si="22"/>
        <v>0</v>
      </c>
      <c r="BJ19" s="17">
        <f t="shared" si="23"/>
        <v>0</v>
      </c>
      <c r="BK19" s="17"/>
      <c r="BL19" s="17">
        <v>784</v>
      </c>
    </row>
    <row r="20" spans="1:64" ht="15" customHeight="1">
      <c r="A20" s="30" t="s">
        <v>133</v>
      </c>
      <c r="B20" s="44" t="s">
        <v>99</v>
      </c>
      <c r="C20" s="44" t="s">
        <v>87</v>
      </c>
      <c r="D20" s="66" t="s">
        <v>86</v>
      </c>
      <c r="E20" s="66"/>
      <c r="F20" s="44" t="s">
        <v>129</v>
      </c>
      <c r="G20" s="17">
        <v>56</v>
      </c>
      <c r="H20" s="59">
        <v>0</v>
      </c>
      <c r="I20" s="17">
        <f t="shared" si="0"/>
        <v>0</v>
      </c>
      <c r="J20" s="17">
        <f t="shared" si="1"/>
        <v>0</v>
      </c>
      <c r="K20" s="17">
        <f t="shared" si="2"/>
        <v>0</v>
      </c>
      <c r="L20" s="17">
        <v>0</v>
      </c>
      <c r="M20" s="17">
        <f t="shared" si="3"/>
        <v>0</v>
      </c>
      <c r="N20" s="41" t="s">
        <v>154</v>
      </c>
      <c r="Z20" s="17">
        <f t="shared" si="4"/>
        <v>0</v>
      </c>
      <c r="AB20" s="17">
        <f t="shared" si="5"/>
        <v>0</v>
      </c>
      <c r="AC20" s="17">
        <f t="shared" si="6"/>
        <v>0</v>
      </c>
      <c r="AD20" s="17">
        <f t="shared" si="7"/>
        <v>0</v>
      </c>
      <c r="AE20" s="17">
        <f t="shared" si="8"/>
        <v>0</v>
      </c>
      <c r="AF20" s="17">
        <f t="shared" si="9"/>
        <v>0</v>
      </c>
      <c r="AG20" s="17">
        <f t="shared" si="10"/>
        <v>0</v>
      </c>
      <c r="AH20" s="17">
        <f t="shared" si="11"/>
        <v>0</v>
      </c>
      <c r="AI20" s="24" t="s">
        <v>99</v>
      </c>
      <c r="AJ20" s="17">
        <f t="shared" si="12"/>
        <v>0</v>
      </c>
      <c r="AK20" s="17">
        <f t="shared" si="13"/>
        <v>0</v>
      </c>
      <c r="AL20" s="17">
        <f t="shared" si="14"/>
        <v>0</v>
      </c>
      <c r="AN20" s="17">
        <v>15</v>
      </c>
      <c r="AO20" s="17">
        <f>H20*0</f>
        <v>0</v>
      </c>
      <c r="AP20" s="17">
        <f>H20*(1-0)</f>
        <v>0</v>
      </c>
      <c r="AQ20" s="1" t="s">
        <v>133</v>
      </c>
      <c r="AV20" s="17">
        <f t="shared" si="15"/>
        <v>0</v>
      </c>
      <c r="AW20" s="17">
        <f t="shared" si="16"/>
        <v>0</v>
      </c>
      <c r="AX20" s="17">
        <f t="shared" si="17"/>
        <v>0</v>
      </c>
      <c r="AY20" s="1" t="s">
        <v>120</v>
      </c>
      <c r="AZ20" s="1" t="s">
        <v>64</v>
      </c>
      <c r="BA20" s="24" t="s">
        <v>107</v>
      </c>
      <c r="BC20" s="17">
        <f t="shared" si="18"/>
        <v>0</v>
      </c>
      <c r="BD20" s="17">
        <f t="shared" si="19"/>
        <v>0</v>
      </c>
      <c r="BE20" s="17">
        <v>0</v>
      </c>
      <c r="BF20" s="17">
        <f t="shared" si="20"/>
        <v>0</v>
      </c>
      <c r="BH20" s="17">
        <f t="shared" si="21"/>
        <v>0</v>
      </c>
      <c r="BI20" s="17">
        <f t="shared" si="22"/>
        <v>0</v>
      </c>
      <c r="BJ20" s="17">
        <f t="shared" si="23"/>
        <v>0</v>
      </c>
      <c r="BK20" s="17"/>
      <c r="BL20" s="17">
        <v>784</v>
      </c>
    </row>
    <row r="21" spans="1:64" ht="15" customHeight="1">
      <c r="A21" s="30" t="s">
        <v>110</v>
      </c>
      <c r="B21" s="44" t="s">
        <v>99</v>
      </c>
      <c r="C21" s="44" t="s">
        <v>3</v>
      </c>
      <c r="D21" s="66" t="s">
        <v>20</v>
      </c>
      <c r="E21" s="66"/>
      <c r="F21" s="44" t="s">
        <v>114</v>
      </c>
      <c r="G21" s="17">
        <v>280</v>
      </c>
      <c r="H21" s="59">
        <v>0</v>
      </c>
      <c r="I21" s="17">
        <f t="shared" si="0"/>
        <v>0</v>
      </c>
      <c r="J21" s="17">
        <f t="shared" si="1"/>
        <v>0</v>
      </c>
      <c r="K21" s="17">
        <f t="shared" si="2"/>
        <v>0</v>
      </c>
      <c r="L21" s="17">
        <v>0</v>
      </c>
      <c r="M21" s="17">
        <f t="shared" si="3"/>
        <v>0</v>
      </c>
      <c r="N21" s="41" t="s">
        <v>154</v>
      </c>
      <c r="Z21" s="17">
        <f t="shared" si="4"/>
        <v>0</v>
      </c>
      <c r="AB21" s="17">
        <f t="shared" si="5"/>
        <v>0</v>
      </c>
      <c r="AC21" s="17">
        <f t="shared" si="6"/>
        <v>0</v>
      </c>
      <c r="AD21" s="17">
        <f t="shared" si="7"/>
        <v>0</v>
      </c>
      <c r="AE21" s="17">
        <f t="shared" si="8"/>
        <v>0</v>
      </c>
      <c r="AF21" s="17">
        <f t="shared" si="9"/>
        <v>0</v>
      </c>
      <c r="AG21" s="17">
        <f t="shared" si="10"/>
        <v>0</v>
      </c>
      <c r="AH21" s="17">
        <f t="shared" si="11"/>
        <v>0</v>
      </c>
      <c r="AI21" s="24" t="s">
        <v>99</v>
      </c>
      <c r="AJ21" s="17">
        <f t="shared" si="12"/>
        <v>0</v>
      </c>
      <c r="AK21" s="17">
        <f t="shared" si="13"/>
        <v>0</v>
      </c>
      <c r="AL21" s="17">
        <f t="shared" si="14"/>
        <v>0</v>
      </c>
      <c r="AN21" s="17">
        <v>15</v>
      </c>
      <c r="AO21" s="17">
        <f>H21*0.130344827586207</f>
        <v>0</v>
      </c>
      <c r="AP21" s="17">
        <f>H21*(1-0.130344827586207)</f>
        <v>0</v>
      </c>
      <c r="AQ21" s="1" t="s">
        <v>133</v>
      </c>
      <c r="AV21" s="17">
        <f t="shared" si="15"/>
        <v>0</v>
      </c>
      <c r="AW21" s="17">
        <f t="shared" si="16"/>
        <v>0</v>
      </c>
      <c r="AX21" s="17">
        <f t="shared" si="17"/>
        <v>0</v>
      </c>
      <c r="AY21" s="1" t="s">
        <v>120</v>
      </c>
      <c r="AZ21" s="1" t="s">
        <v>64</v>
      </c>
      <c r="BA21" s="24" t="s">
        <v>107</v>
      </c>
      <c r="BC21" s="17">
        <f t="shared" si="18"/>
        <v>0</v>
      </c>
      <c r="BD21" s="17">
        <f t="shared" si="19"/>
        <v>0</v>
      </c>
      <c r="BE21" s="17">
        <v>0</v>
      </c>
      <c r="BF21" s="17">
        <f t="shared" si="20"/>
        <v>0</v>
      </c>
      <c r="BH21" s="17">
        <f t="shared" si="21"/>
        <v>0</v>
      </c>
      <c r="BI21" s="17">
        <f t="shared" si="22"/>
        <v>0</v>
      </c>
      <c r="BJ21" s="17">
        <f t="shared" si="23"/>
        <v>0</v>
      </c>
      <c r="BK21" s="17"/>
      <c r="BL21" s="17">
        <v>784</v>
      </c>
    </row>
    <row r="22" spans="1:64" ht="15" customHeight="1">
      <c r="A22" s="30">
        <v>9</v>
      </c>
      <c r="B22" s="44" t="s">
        <v>99</v>
      </c>
      <c r="C22" s="44" t="s">
        <v>152</v>
      </c>
      <c r="D22" s="66" t="s">
        <v>62</v>
      </c>
      <c r="E22" s="66"/>
      <c r="F22" s="44" t="s">
        <v>114</v>
      </c>
      <c r="G22" s="17">
        <v>83</v>
      </c>
      <c r="H22" s="59">
        <v>0</v>
      </c>
      <c r="I22" s="17">
        <f t="shared" si="0"/>
        <v>0</v>
      </c>
      <c r="J22" s="17">
        <f t="shared" si="1"/>
        <v>0</v>
      </c>
      <c r="K22" s="17">
        <f t="shared" si="2"/>
        <v>0</v>
      </c>
      <c r="L22" s="17">
        <v>1E-05</v>
      </c>
      <c r="M22" s="17">
        <f t="shared" si="3"/>
        <v>0.0008300000000000001</v>
      </c>
      <c r="N22" s="41" t="s">
        <v>154</v>
      </c>
      <c r="Z22" s="17">
        <f t="shared" si="4"/>
        <v>0</v>
      </c>
      <c r="AB22" s="17">
        <f t="shared" si="5"/>
        <v>0</v>
      </c>
      <c r="AC22" s="17">
        <f t="shared" si="6"/>
        <v>0</v>
      </c>
      <c r="AD22" s="17">
        <f t="shared" si="7"/>
        <v>0</v>
      </c>
      <c r="AE22" s="17">
        <f t="shared" si="8"/>
        <v>0</v>
      </c>
      <c r="AF22" s="17">
        <f t="shared" si="9"/>
        <v>0</v>
      </c>
      <c r="AG22" s="17">
        <f t="shared" si="10"/>
        <v>0</v>
      </c>
      <c r="AH22" s="17">
        <f t="shared" si="11"/>
        <v>0</v>
      </c>
      <c r="AI22" s="24" t="s">
        <v>99</v>
      </c>
      <c r="AJ22" s="17">
        <f t="shared" si="12"/>
        <v>0</v>
      </c>
      <c r="AK22" s="17">
        <f t="shared" si="13"/>
        <v>0</v>
      </c>
      <c r="AL22" s="17">
        <f t="shared" si="14"/>
        <v>0</v>
      </c>
      <c r="AN22" s="17">
        <v>15</v>
      </c>
      <c r="AO22" s="17">
        <f>H22*0.0953068592057762</f>
        <v>0</v>
      </c>
      <c r="AP22" s="17">
        <f>H22*(1-0.0953068592057762)</f>
        <v>0</v>
      </c>
      <c r="AQ22" s="1" t="s">
        <v>133</v>
      </c>
      <c r="AV22" s="17">
        <f t="shared" si="15"/>
        <v>0</v>
      </c>
      <c r="AW22" s="17">
        <f t="shared" si="16"/>
        <v>0</v>
      </c>
      <c r="AX22" s="17">
        <f t="shared" si="17"/>
        <v>0</v>
      </c>
      <c r="AY22" s="1" t="s">
        <v>120</v>
      </c>
      <c r="AZ22" s="1" t="s">
        <v>64</v>
      </c>
      <c r="BA22" s="24" t="s">
        <v>107</v>
      </c>
      <c r="BC22" s="17">
        <f t="shared" si="18"/>
        <v>0</v>
      </c>
      <c r="BD22" s="17">
        <f t="shared" si="19"/>
        <v>0</v>
      </c>
      <c r="BE22" s="17">
        <v>0</v>
      </c>
      <c r="BF22" s="17">
        <f t="shared" si="20"/>
        <v>0.0008300000000000001</v>
      </c>
      <c r="BH22" s="17">
        <f t="shared" si="21"/>
        <v>0</v>
      </c>
      <c r="BI22" s="17">
        <f t="shared" si="22"/>
        <v>0</v>
      </c>
      <c r="BJ22" s="17">
        <f t="shared" si="23"/>
        <v>0</v>
      </c>
      <c r="BK22" s="17"/>
      <c r="BL22" s="17">
        <v>784</v>
      </c>
    </row>
    <row r="23" spans="1:64" ht="15" customHeight="1">
      <c r="A23" s="30">
        <v>10</v>
      </c>
      <c r="B23" s="44" t="s">
        <v>99</v>
      </c>
      <c r="C23" s="44" t="s">
        <v>74</v>
      </c>
      <c r="D23" s="66" t="s">
        <v>67</v>
      </c>
      <c r="E23" s="66"/>
      <c r="F23" s="44" t="s">
        <v>129</v>
      </c>
      <c r="G23" s="17">
        <v>295</v>
      </c>
      <c r="H23" s="59">
        <v>0</v>
      </c>
      <c r="I23" s="17">
        <f t="shared" si="0"/>
        <v>0</v>
      </c>
      <c r="J23" s="17">
        <f t="shared" si="1"/>
        <v>0</v>
      </c>
      <c r="K23" s="17">
        <f t="shared" si="2"/>
        <v>0</v>
      </c>
      <c r="L23" s="17">
        <v>0.00042</v>
      </c>
      <c r="M23" s="17">
        <f t="shared" si="3"/>
        <v>0.12390000000000001</v>
      </c>
      <c r="N23" s="41" t="s">
        <v>154</v>
      </c>
      <c r="Z23" s="17">
        <f t="shared" si="4"/>
        <v>0</v>
      </c>
      <c r="AB23" s="17">
        <f t="shared" si="5"/>
        <v>0</v>
      </c>
      <c r="AC23" s="17">
        <f t="shared" si="6"/>
        <v>0</v>
      </c>
      <c r="AD23" s="17">
        <f t="shared" si="7"/>
        <v>0</v>
      </c>
      <c r="AE23" s="17">
        <f t="shared" si="8"/>
        <v>0</v>
      </c>
      <c r="AF23" s="17">
        <f t="shared" si="9"/>
        <v>0</v>
      </c>
      <c r="AG23" s="17">
        <f t="shared" si="10"/>
        <v>0</v>
      </c>
      <c r="AH23" s="17">
        <f t="shared" si="11"/>
        <v>0</v>
      </c>
      <c r="AI23" s="24" t="s">
        <v>99</v>
      </c>
      <c r="AJ23" s="17">
        <f t="shared" si="12"/>
        <v>0</v>
      </c>
      <c r="AK23" s="17">
        <f t="shared" si="13"/>
        <v>0</v>
      </c>
      <c r="AL23" s="17">
        <f t="shared" si="14"/>
        <v>0</v>
      </c>
      <c r="AN23" s="17">
        <v>15</v>
      </c>
      <c r="AO23" s="17">
        <f>H23*0.303484567857288</f>
        <v>0</v>
      </c>
      <c r="AP23" s="17">
        <f>H23*(1-0.303484567857288)</f>
        <v>0</v>
      </c>
      <c r="AQ23" s="1" t="s">
        <v>133</v>
      </c>
      <c r="AV23" s="17">
        <f t="shared" si="15"/>
        <v>0</v>
      </c>
      <c r="AW23" s="17">
        <f t="shared" si="16"/>
        <v>0</v>
      </c>
      <c r="AX23" s="17">
        <f t="shared" si="17"/>
        <v>0</v>
      </c>
      <c r="AY23" s="1" t="s">
        <v>120</v>
      </c>
      <c r="AZ23" s="1" t="s">
        <v>64</v>
      </c>
      <c r="BA23" s="24" t="s">
        <v>107</v>
      </c>
      <c r="BC23" s="17">
        <f t="shared" si="18"/>
        <v>0</v>
      </c>
      <c r="BD23" s="17">
        <f t="shared" si="19"/>
        <v>0</v>
      </c>
      <c r="BE23" s="17">
        <v>0</v>
      </c>
      <c r="BF23" s="17">
        <f t="shared" si="20"/>
        <v>0.12390000000000001</v>
      </c>
      <c r="BH23" s="17">
        <f t="shared" si="21"/>
        <v>0</v>
      </c>
      <c r="BI23" s="17">
        <f t="shared" si="22"/>
        <v>0</v>
      </c>
      <c r="BJ23" s="17">
        <f t="shared" si="23"/>
        <v>0</v>
      </c>
      <c r="BK23" s="17"/>
      <c r="BL23" s="17">
        <v>784</v>
      </c>
    </row>
    <row r="24" spans="1:64" ht="15" customHeight="1">
      <c r="A24" s="30">
        <v>11</v>
      </c>
      <c r="B24" s="44" t="s">
        <v>99</v>
      </c>
      <c r="C24" s="44" t="s">
        <v>96</v>
      </c>
      <c r="D24" s="66" t="s">
        <v>163</v>
      </c>
      <c r="E24" s="66"/>
      <c r="F24" s="44" t="s">
        <v>129</v>
      </c>
      <c r="G24" s="17">
        <v>783</v>
      </c>
      <c r="H24" s="59">
        <v>0</v>
      </c>
      <c r="I24" s="17">
        <f t="shared" si="0"/>
        <v>0</v>
      </c>
      <c r="J24" s="17">
        <f t="shared" si="1"/>
        <v>0</v>
      </c>
      <c r="K24" s="17">
        <f t="shared" si="2"/>
        <v>0</v>
      </c>
      <c r="L24" s="17">
        <v>0.00048</v>
      </c>
      <c r="M24" s="17">
        <f t="shared" si="3"/>
        <v>0.37584</v>
      </c>
      <c r="N24" s="41" t="s">
        <v>154</v>
      </c>
      <c r="Z24" s="17">
        <f t="shared" si="4"/>
        <v>0</v>
      </c>
      <c r="AB24" s="17">
        <f t="shared" si="5"/>
        <v>0</v>
      </c>
      <c r="AC24" s="17">
        <f t="shared" si="6"/>
        <v>0</v>
      </c>
      <c r="AD24" s="17">
        <f t="shared" si="7"/>
        <v>0</v>
      </c>
      <c r="AE24" s="17">
        <f t="shared" si="8"/>
        <v>0</v>
      </c>
      <c r="AF24" s="17">
        <f t="shared" si="9"/>
        <v>0</v>
      </c>
      <c r="AG24" s="17">
        <f t="shared" si="10"/>
        <v>0</v>
      </c>
      <c r="AH24" s="17">
        <f t="shared" si="11"/>
        <v>0</v>
      </c>
      <c r="AI24" s="24" t="s">
        <v>99</v>
      </c>
      <c r="AJ24" s="17">
        <f t="shared" si="12"/>
        <v>0</v>
      </c>
      <c r="AK24" s="17">
        <f t="shared" si="13"/>
        <v>0</v>
      </c>
      <c r="AL24" s="17">
        <f t="shared" si="14"/>
        <v>0</v>
      </c>
      <c r="AN24" s="17">
        <v>15</v>
      </c>
      <c r="AO24" s="17">
        <f>H24*0.366595517609392</f>
        <v>0</v>
      </c>
      <c r="AP24" s="17">
        <f>H24*(1-0.366595517609392)</f>
        <v>0</v>
      </c>
      <c r="AQ24" s="1" t="s">
        <v>133</v>
      </c>
      <c r="AV24" s="17">
        <f t="shared" si="15"/>
        <v>0</v>
      </c>
      <c r="AW24" s="17">
        <f t="shared" si="16"/>
        <v>0</v>
      </c>
      <c r="AX24" s="17">
        <f t="shared" si="17"/>
        <v>0</v>
      </c>
      <c r="AY24" s="1" t="s">
        <v>120</v>
      </c>
      <c r="AZ24" s="1" t="s">
        <v>64</v>
      </c>
      <c r="BA24" s="24" t="s">
        <v>107</v>
      </c>
      <c r="BC24" s="17">
        <f t="shared" si="18"/>
        <v>0</v>
      </c>
      <c r="BD24" s="17">
        <f t="shared" si="19"/>
        <v>0</v>
      </c>
      <c r="BE24" s="17">
        <v>0</v>
      </c>
      <c r="BF24" s="17">
        <f t="shared" si="20"/>
        <v>0.37584</v>
      </c>
      <c r="BH24" s="17">
        <f t="shared" si="21"/>
        <v>0</v>
      </c>
      <c r="BI24" s="17">
        <f t="shared" si="22"/>
        <v>0</v>
      </c>
      <c r="BJ24" s="17">
        <f t="shared" si="23"/>
        <v>0</v>
      </c>
      <c r="BK24" s="17"/>
      <c r="BL24" s="17">
        <v>784</v>
      </c>
    </row>
    <row r="25" spans="1:64" ht="15" customHeight="1">
      <c r="A25" s="57">
        <v>12</v>
      </c>
      <c r="B25" s="58" t="s">
        <v>99</v>
      </c>
      <c r="C25" s="58" t="s">
        <v>157</v>
      </c>
      <c r="D25" s="58" t="s">
        <v>158</v>
      </c>
      <c r="E25" s="58"/>
      <c r="F25" s="58" t="s">
        <v>129</v>
      </c>
      <c r="G25" s="17">
        <v>364</v>
      </c>
      <c r="H25" s="59">
        <v>0</v>
      </c>
      <c r="I25" s="17">
        <f>G25*AN25</f>
        <v>0</v>
      </c>
      <c r="J25" s="17">
        <f>G25*AO25</f>
        <v>0</v>
      </c>
      <c r="K25" s="17">
        <f t="shared" si="2"/>
        <v>0</v>
      </c>
      <c r="L25" s="17">
        <v>0.00035</v>
      </c>
      <c r="M25" s="17">
        <f t="shared" si="3"/>
        <v>0.12739999999999999</v>
      </c>
      <c r="N25" s="41"/>
      <c r="Z25" s="17"/>
      <c r="AB25" s="17"/>
      <c r="AC25" s="17"/>
      <c r="AD25" s="17"/>
      <c r="AE25" s="17"/>
      <c r="AF25" s="17"/>
      <c r="AG25" s="17"/>
      <c r="AH25" s="17"/>
      <c r="AI25" s="24"/>
      <c r="AJ25" s="17"/>
      <c r="AK25" s="17"/>
      <c r="AL25" s="17"/>
      <c r="AN25" s="17"/>
      <c r="AO25" s="17"/>
      <c r="AP25" s="17"/>
      <c r="AQ25" s="1"/>
      <c r="AV25" s="17"/>
      <c r="AW25" s="17"/>
      <c r="AX25" s="17"/>
      <c r="AY25" s="1"/>
      <c r="AZ25" s="1"/>
      <c r="BA25" s="24"/>
      <c r="BC25" s="17"/>
      <c r="BD25" s="17"/>
      <c r="BE25" s="17"/>
      <c r="BF25" s="17"/>
      <c r="BH25" s="17"/>
      <c r="BI25" s="17"/>
      <c r="BJ25" s="17"/>
      <c r="BK25" s="17"/>
      <c r="BL25" s="17"/>
    </row>
    <row r="26" spans="1:47" ht="15" customHeight="1">
      <c r="A26" s="54" t="s">
        <v>99</v>
      </c>
      <c r="B26" s="15" t="s">
        <v>99</v>
      </c>
      <c r="C26" s="15" t="s">
        <v>92</v>
      </c>
      <c r="D26" s="82" t="s">
        <v>81</v>
      </c>
      <c r="E26" s="82"/>
      <c r="F26" s="34" t="s">
        <v>124</v>
      </c>
      <c r="G26" s="34" t="s">
        <v>124</v>
      </c>
      <c r="H26" s="60" t="s">
        <v>124</v>
      </c>
      <c r="I26" s="2">
        <f>SUM(I27:I29)</f>
        <v>0</v>
      </c>
      <c r="J26" s="2">
        <f>SUM(J27:J29)</f>
        <v>0</v>
      </c>
      <c r="K26" s="2">
        <f>SUM(K27:K29)</f>
        <v>0</v>
      </c>
      <c r="L26" s="24" t="s">
        <v>99</v>
      </c>
      <c r="M26" s="2">
        <f>SUM(M27:M29)</f>
        <v>0</v>
      </c>
      <c r="N26" s="33" t="s">
        <v>99</v>
      </c>
      <c r="AI26" s="24" t="s">
        <v>99</v>
      </c>
      <c r="AS26" s="2">
        <f>SUM(AJ27:AJ29)</f>
        <v>0</v>
      </c>
      <c r="AT26" s="2">
        <f>SUM(AK27:AK29)</f>
        <v>0</v>
      </c>
      <c r="AU26" s="2">
        <f>SUM(AL27:AL29)</f>
        <v>0</v>
      </c>
    </row>
    <row r="27" spans="1:64" ht="15" customHeight="1">
      <c r="A27" s="30">
        <v>13</v>
      </c>
      <c r="B27" s="44" t="s">
        <v>99</v>
      </c>
      <c r="C27" s="44" t="s">
        <v>18</v>
      </c>
      <c r="D27" s="66" t="s">
        <v>46</v>
      </c>
      <c r="E27" s="66"/>
      <c r="F27" s="44" t="s">
        <v>65</v>
      </c>
      <c r="G27" s="17">
        <v>2.08</v>
      </c>
      <c r="H27" s="59">
        <v>0</v>
      </c>
      <c r="I27" s="17">
        <f>G27*AO27</f>
        <v>0</v>
      </c>
      <c r="J27" s="17">
        <f>G27*AP27</f>
        <v>0</v>
      </c>
      <c r="K27" s="17">
        <f>G27*H27</f>
        <v>0</v>
      </c>
      <c r="L27" s="17">
        <v>0</v>
      </c>
      <c r="M27" s="17">
        <f>G27*L27</f>
        <v>0</v>
      </c>
      <c r="N27" s="41" t="s">
        <v>154</v>
      </c>
      <c r="Z27" s="17">
        <f>IF(AQ27="5",BJ27,0)</f>
        <v>0</v>
      </c>
      <c r="AB27" s="17">
        <f>IF(AQ27="1",BH27,0)</f>
        <v>0</v>
      </c>
      <c r="AC27" s="17">
        <f>IF(AQ27="1",BI27,0)</f>
        <v>0</v>
      </c>
      <c r="AD27" s="17">
        <f>IF(AQ27="7",BH27,0)</f>
        <v>0</v>
      </c>
      <c r="AE27" s="17">
        <f>IF(AQ27="7",BI27,0)</f>
        <v>0</v>
      </c>
      <c r="AF27" s="17">
        <f>IF(AQ27="2",BH27,0)</f>
        <v>0</v>
      </c>
      <c r="AG27" s="17">
        <f>IF(AQ27="2",BI27,0)</f>
        <v>0</v>
      </c>
      <c r="AH27" s="17">
        <f>IF(AQ27="0",BJ27,0)</f>
        <v>0</v>
      </c>
      <c r="AI27" s="24" t="s">
        <v>99</v>
      </c>
      <c r="AJ27" s="17">
        <f>IF(AN27=0,K27,0)</f>
        <v>0</v>
      </c>
      <c r="AK27" s="17">
        <f>IF(AN27=15,K27,0)</f>
        <v>0</v>
      </c>
      <c r="AL27" s="17">
        <f>IF(AN27=21,K27,0)</f>
        <v>0</v>
      </c>
      <c r="AN27" s="17">
        <v>15</v>
      </c>
      <c r="AO27" s="17">
        <f>H27*0</f>
        <v>0</v>
      </c>
      <c r="AP27" s="17">
        <f>H27*(1-0)</f>
        <v>0</v>
      </c>
      <c r="AQ27" s="1" t="s">
        <v>73</v>
      </c>
      <c r="AV27" s="17">
        <f>AW27+AX27</f>
        <v>0</v>
      </c>
      <c r="AW27" s="17">
        <f>G27*AO27</f>
        <v>0</v>
      </c>
      <c r="AX27" s="17">
        <f>G27*AP27</f>
        <v>0</v>
      </c>
      <c r="AY27" s="1" t="s">
        <v>138</v>
      </c>
      <c r="AZ27" s="1" t="s">
        <v>51</v>
      </c>
      <c r="BA27" s="24" t="s">
        <v>107</v>
      </c>
      <c r="BC27" s="17">
        <f>AW27+AX27</f>
        <v>0</v>
      </c>
      <c r="BD27" s="17">
        <f>H27/(100-BE27)*100</f>
        <v>0</v>
      </c>
      <c r="BE27" s="17">
        <v>0</v>
      </c>
      <c r="BF27" s="17">
        <f>M27</f>
        <v>0</v>
      </c>
      <c r="BH27" s="17">
        <f>G27*AO27</f>
        <v>0</v>
      </c>
      <c r="BI27" s="17">
        <f>G27*AP27</f>
        <v>0</v>
      </c>
      <c r="BJ27" s="17">
        <f>G27*H27</f>
        <v>0</v>
      </c>
      <c r="BK27" s="17"/>
      <c r="BL27" s="17"/>
    </row>
    <row r="28" spans="1:64" ht="15" customHeight="1">
      <c r="A28" s="30">
        <v>14</v>
      </c>
      <c r="B28" s="44" t="s">
        <v>99</v>
      </c>
      <c r="C28" s="44" t="s">
        <v>153</v>
      </c>
      <c r="D28" s="66" t="s">
        <v>35</v>
      </c>
      <c r="E28" s="66"/>
      <c r="F28" s="44" t="s">
        <v>65</v>
      </c>
      <c r="G28" s="17">
        <v>2.08</v>
      </c>
      <c r="H28" s="59">
        <v>0</v>
      </c>
      <c r="I28" s="17">
        <f>G28*AO28</f>
        <v>0</v>
      </c>
      <c r="J28" s="17">
        <f>G28*AP28</f>
        <v>0</v>
      </c>
      <c r="K28" s="17">
        <f>G28*H28</f>
        <v>0</v>
      </c>
      <c r="L28" s="17">
        <v>0</v>
      </c>
      <c r="M28" s="17">
        <f>G28*L28</f>
        <v>0</v>
      </c>
      <c r="N28" s="41" t="s">
        <v>154</v>
      </c>
      <c r="Z28" s="17">
        <f>IF(AQ28="5",BJ28,0)</f>
        <v>0</v>
      </c>
      <c r="AB28" s="17">
        <f>IF(AQ28="1",BH28,0)</f>
        <v>0</v>
      </c>
      <c r="AC28" s="17">
        <f>IF(AQ28="1",BI28,0)</f>
        <v>0</v>
      </c>
      <c r="AD28" s="17">
        <f>IF(AQ28="7",BH28,0)</f>
        <v>0</v>
      </c>
      <c r="AE28" s="17">
        <f>IF(AQ28="7",BI28,0)</f>
        <v>0</v>
      </c>
      <c r="AF28" s="17">
        <f>IF(AQ28="2",BH28,0)</f>
        <v>0</v>
      </c>
      <c r="AG28" s="17">
        <f>IF(AQ28="2",BI28,0)</f>
        <v>0</v>
      </c>
      <c r="AH28" s="17">
        <f>IF(AQ28="0",BJ28,0)</f>
        <v>0</v>
      </c>
      <c r="AI28" s="24" t="s">
        <v>99</v>
      </c>
      <c r="AJ28" s="17">
        <f>IF(AN28=0,K28,0)</f>
        <v>0</v>
      </c>
      <c r="AK28" s="17">
        <f>IF(AN28=15,K28,0)</f>
        <v>0</v>
      </c>
      <c r="AL28" s="17">
        <f>IF(AN28=21,K28,0)</f>
        <v>0</v>
      </c>
      <c r="AN28" s="17">
        <v>15</v>
      </c>
      <c r="AO28" s="17">
        <f>H28*0</f>
        <v>0</v>
      </c>
      <c r="AP28" s="17">
        <f>H28*(1-0)</f>
        <v>0</v>
      </c>
      <c r="AQ28" s="1" t="s">
        <v>73</v>
      </c>
      <c r="AV28" s="17">
        <f>AW28+AX28</f>
        <v>0</v>
      </c>
      <c r="AW28" s="17">
        <f>G28*AO28</f>
        <v>0</v>
      </c>
      <c r="AX28" s="17">
        <f>G28*AP28</f>
        <v>0</v>
      </c>
      <c r="AY28" s="1" t="s">
        <v>138</v>
      </c>
      <c r="AZ28" s="1" t="s">
        <v>51</v>
      </c>
      <c r="BA28" s="24" t="s">
        <v>107</v>
      </c>
      <c r="BC28" s="17">
        <f>AW28+AX28</f>
        <v>0</v>
      </c>
      <c r="BD28" s="17">
        <f>H28/(100-BE28)*100</f>
        <v>0</v>
      </c>
      <c r="BE28" s="17">
        <v>0</v>
      </c>
      <c r="BF28" s="17">
        <f>M28</f>
        <v>0</v>
      </c>
      <c r="BH28" s="17">
        <f>G28*AO28</f>
        <v>0</v>
      </c>
      <c r="BI28" s="17">
        <f>G28*AP28</f>
        <v>0</v>
      </c>
      <c r="BJ28" s="17">
        <f>G28*H28</f>
        <v>0</v>
      </c>
      <c r="BK28" s="17"/>
      <c r="BL28" s="17"/>
    </row>
    <row r="29" spans="1:64" ht="15" customHeight="1">
      <c r="A29" s="23">
        <v>15</v>
      </c>
      <c r="B29" s="14" t="s">
        <v>99</v>
      </c>
      <c r="C29" s="14" t="s">
        <v>8</v>
      </c>
      <c r="D29" s="83" t="s">
        <v>88</v>
      </c>
      <c r="E29" s="83"/>
      <c r="F29" s="14" t="s">
        <v>65</v>
      </c>
      <c r="G29" s="19">
        <v>10.4</v>
      </c>
      <c r="H29" s="61">
        <v>0</v>
      </c>
      <c r="I29" s="19">
        <f>G29*AO29</f>
        <v>0</v>
      </c>
      <c r="J29" s="19">
        <f>G29*AP29</f>
        <v>0</v>
      </c>
      <c r="K29" s="19">
        <f>G29*H29</f>
        <v>0</v>
      </c>
      <c r="L29" s="19">
        <v>0</v>
      </c>
      <c r="M29" s="19">
        <f>G29*L29</f>
        <v>0</v>
      </c>
      <c r="N29" s="56" t="s">
        <v>154</v>
      </c>
      <c r="Z29" s="17">
        <f>IF(AQ29="5",BJ29,0)</f>
        <v>0</v>
      </c>
      <c r="AB29" s="17">
        <f>IF(AQ29="1",BH29,0)</f>
        <v>0</v>
      </c>
      <c r="AC29" s="17">
        <f>IF(AQ29="1",BI29,0)</f>
        <v>0</v>
      </c>
      <c r="AD29" s="17">
        <f>IF(AQ29="7",BH29,0)</f>
        <v>0</v>
      </c>
      <c r="AE29" s="17">
        <f>IF(AQ29="7",BI29,0)</f>
        <v>0</v>
      </c>
      <c r="AF29" s="17">
        <f>IF(AQ29="2",BH29,0)</f>
        <v>0</v>
      </c>
      <c r="AG29" s="17">
        <f>IF(AQ29="2",BI29,0)</f>
        <v>0</v>
      </c>
      <c r="AH29" s="17">
        <f>IF(AQ29="0",BJ29,0)</f>
        <v>0</v>
      </c>
      <c r="AI29" s="24" t="s">
        <v>99</v>
      </c>
      <c r="AJ29" s="17">
        <f>IF(AN29=0,K29,0)</f>
        <v>0</v>
      </c>
      <c r="AK29" s="17">
        <f>IF(AN29=15,K29,0)</f>
        <v>0</v>
      </c>
      <c r="AL29" s="17">
        <f>IF(AN29=21,K29,0)</f>
        <v>0</v>
      </c>
      <c r="AN29" s="17">
        <v>15</v>
      </c>
      <c r="AO29" s="17">
        <f>H29*0</f>
        <v>0</v>
      </c>
      <c r="AP29" s="17">
        <f>H29*(1-0)</f>
        <v>0</v>
      </c>
      <c r="AQ29" s="1" t="s">
        <v>73</v>
      </c>
      <c r="AV29" s="17">
        <f>AW29+AX29</f>
        <v>0</v>
      </c>
      <c r="AW29" s="17">
        <f>G29*AO29</f>
        <v>0</v>
      </c>
      <c r="AX29" s="17">
        <f>G29*AP29</f>
        <v>0</v>
      </c>
      <c r="AY29" s="1" t="s">
        <v>138</v>
      </c>
      <c r="AZ29" s="1" t="s">
        <v>51</v>
      </c>
      <c r="BA29" s="24" t="s">
        <v>107</v>
      </c>
      <c r="BC29" s="17">
        <f>AW29+AX29</f>
        <v>0</v>
      </c>
      <c r="BD29" s="17">
        <f>H29/(100-BE29)*100</f>
        <v>0</v>
      </c>
      <c r="BE29" s="17">
        <v>0</v>
      </c>
      <c r="BF29" s="17">
        <f>M29</f>
        <v>0</v>
      </c>
      <c r="BH29" s="17">
        <f>G29*AO29</f>
        <v>0</v>
      </c>
      <c r="BI29" s="17">
        <f>G29*AP29</f>
        <v>0</v>
      </c>
      <c r="BJ29" s="17">
        <f>G29*H29</f>
        <v>0</v>
      </c>
      <c r="BK29" s="17"/>
      <c r="BL29" s="17"/>
    </row>
    <row r="30" spans="9:11" ht="15" customHeight="1">
      <c r="I30" s="76" t="s">
        <v>111</v>
      </c>
      <c r="J30" s="76"/>
      <c r="K30" s="40">
        <f>K12+K15+K26</f>
        <v>0</v>
      </c>
    </row>
    <row r="31" ht="15" customHeight="1">
      <c r="A31" s="12" t="s">
        <v>12</v>
      </c>
    </row>
    <row r="32" spans="1:14" ht="12.75" customHeight="1">
      <c r="A32" s="69" t="s">
        <v>99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</sheetData>
  <sheetProtection password="CC09" sheet="1"/>
  <mergeCells count="48">
    <mergeCell ref="D21:E21"/>
    <mergeCell ref="D22:E22"/>
    <mergeCell ref="D23:E23"/>
    <mergeCell ref="D24:E24"/>
    <mergeCell ref="A32:N32"/>
    <mergeCell ref="D26:E26"/>
    <mergeCell ref="D27:E27"/>
    <mergeCell ref="D28:E28"/>
    <mergeCell ref="D29:E29"/>
    <mergeCell ref="I30:J30"/>
    <mergeCell ref="D15:E15"/>
    <mergeCell ref="D16:E16"/>
    <mergeCell ref="D17:E17"/>
    <mergeCell ref="D18:E18"/>
    <mergeCell ref="D19:E19"/>
    <mergeCell ref="D20:E20"/>
    <mergeCell ref="D11:E11"/>
    <mergeCell ref="I10:K10"/>
    <mergeCell ref="L10:M10"/>
    <mergeCell ref="D12:E12"/>
    <mergeCell ref="D13:E13"/>
    <mergeCell ref="D14:E14"/>
    <mergeCell ref="J2:N3"/>
    <mergeCell ref="J4:N5"/>
    <mergeCell ref="J6:N7"/>
    <mergeCell ref="J8:N9"/>
    <mergeCell ref="D10:E10"/>
    <mergeCell ref="I4:I5"/>
    <mergeCell ref="I6:I7"/>
    <mergeCell ref="I8:I9"/>
    <mergeCell ref="D2:F3"/>
    <mergeCell ref="D4:F5"/>
    <mergeCell ref="D6:F7"/>
    <mergeCell ref="D8:F9"/>
    <mergeCell ref="H2:H3"/>
    <mergeCell ref="H4:H5"/>
    <mergeCell ref="H6:H7"/>
    <mergeCell ref="H8:H9"/>
    <mergeCell ref="A1:N1"/>
    <mergeCell ref="A2:C3"/>
    <mergeCell ref="A4:C5"/>
    <mergeCell ref="A6:C7"/>
    <mergeCell ref="A8:C9"/>
    <mergeCell ref="G2:G3"/>
    <mergeCell ref="G4:G5"/>
    <mergeCell ref="G6:G7"/>
    <mergeCell ref="G8:G9"/>
    <mergeCell ref="I2:I3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1">
      <selection activeCell="I6" activeCellId="1" sqref="F6:G7 I6:I7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28.5" customHeight="1">
      <c r="A1" s="84" t="s">
        <v>43</v>
      </c>
      <c r="B1" s="62"/>
      <c r="C1" s="62"/>
      <c r="D1" s="62"/>
      <c r="E1" s="62"/>
      <c r="F1" s="62"/>
      <c r="G1" s="62"/>
      <c r="H1" s="62"/>
      <c r="I1" s="62"/>
    </row>
    <row r="2" spans="1:9" ht="15" customHeight="1">
      <c r="A2" s="63" t="s">
        <v>9</v>
      </c>
      <c r="B2" s="64"/>
      <c r="C2" s="74" t="str">
        <f>'Stavební rozpočet'!D2</f>
        <v>VÝMALBA MŠ POHÁDKA</v>
      </c>
      <c r="D2" s="75"/>
      <c r="E2" s="68" t="s">
        <v>115</v>
      </c>
      <c r="F2" s="68" t="str">
        <f>'Stavební rozpočet'!J2</f>
        <v> </v>
      </c>
      <c r="G2" s="64"/>
      <c r="H2" s="68" t="s">
        <v>91</v>
      </c>
      <c r="I2" s="70" t="s">
        <v>99</v>
      </c>
    </row>
    <row r="3" spans="1:9" ht="15" customHeight="1">
      <c r="A3" s="65"/>
      <c r="B3" s="66"/>
      <c r="C3" s="76"/>
      <c r="D3" s="76"/>
      <c r="E3" s="66"/>
      <c r="F3" s="66"/>
      <c r="G3" s="66"/>
      <c r="H3" s="66"/>
      <c r="I3" s="71"/>
    </row>
    <row r="4" spans="1:9" ht="15" customHeight="1">
      <c r="A4" s="67" t="s">
        <v>76</v>
      </c>
      <c r="B4" s="66"/>
      <c r="C4" s="69" t="str">
        <f>'Stavební rozpočet'!D4</f>
        <v> </v>
      </c>
      <c r="D4" s="66"/>
      <c r="E4" s="69" t="s">
        <v>98</v>
      </c>
      <c r="F4" s="69" t="str">
        <f>'Stavební rozpočet'!J4</f>
        <v> </v>
      </c>
      <c r="G4" s="66"/>
      <c r="H4" s="69" t="s">
        <v>91</v>
      </c>
      <c r="I4" s="71" t="s">
        <v>99</v>
      </c>
    </row>
    <row r="5" spans="1:9" ht="15" customHeight="1">
      <c r="A5" s="65"/>
      <c r="B5" s="66"/>
      <c r="C5" s="66"/>
      <c r="D5" s="66"/>
      <c r="E5" s="66"/>
      <c r="F5" s="66"/>
      <c r="G5" s="66"/>
      <c r="H5" s="66"/>
      <c r="I5" s="71"/>
    </row>
    <row r="6" spans="1:9" ht="15" customHeight="1">
      <c r="A6" s="67" t="s">
        <v>13</v>
      </c>
      <c r="B6" s="66"/>
      <c r="C6" s="69" t="str">
        <f>'Stavební rozpočet'!D6</f>
        <v>Bezručova 323/7, 400 01 Ústí nad Labem</v>
      </c>
      <c r="D6" s="66"/>
      <c r="E6" s="69" t="s">
        <v>118</v>
      </c>
      <c r="F6" s="91" t="str">
        <f>'Stavební rozpočet'!J6</f>
        <v> </v>
      </c>
      <c r="G6" s="92"/>
      <c r="H6" s="69" t="s">
        <v>91</v>
      </c>
      <c r="I6" s="86" t="s">
        <v>99</v>
      </c>
    </row>
    <row r="7" spans="1:9" ht="15" customHeight="1">
      <c r="A7" s="65"/>
      <c r="B7" s="66"/>
      <c r="C7" s="66"/>
      <c r="D7" s="66"/>
      <c r="E7" s="66"/>
      <c r="F7" s="92"/>
      <c r="G7" s="92"/>
      <c r="H7" s="66"/>
      <c r="I7" s="86"/>
    </row>
    <row r="8" spans="1:9" ht="15" customHeight="1">
      <c r="A8" s="67" t="s">
        <v>121</v>
      </c>
      <c r="B8" s="66"/>
      <c r="C8" s="69">
        <f>'Stavební rozpočet'!H4</f>
        <v>0</v>
      </c>
      <c r="D8" s="66"/>
      <c r="E8" s="69" t="s">
        <v>45</v>
      </c>
      <c r="F8" s="69" t="str">
        <f>'Stavební rozpočet'!H6</f>
        <v> </v>
      </c>
      <c r="G8" s="66"/>
      <c r="H8" s="66" t="s">
        <v>135</v>
      </c>
      <c r="I8" s="87">
        <v>15</v>
      </c>
    </row>
    <row r="9" spans="1:9" ht="15" customHeight="1">
      <c r="A9" s="65"/>
      <c r="B9" s="66"/>
      <c r="C9" s="66"/>
      <c r="D9" s="66"/>
      <c r="E9" s="66"/>
      <c r="F9" s="66"/>
      <c r="G9" s="66"/>
      <c r="H9" s="66"/>
      <c r="I9" s="71"/>
    </row>
    <row r="10" spans="1:9" ht="15" customHeight="1">
      <c r="A10" s="67" t="s">
        <v>68</v>
      </c>
      <c r="B10" s="66"/>
      <c r="C10" s="69" t="str">
        <f>'Stavební rozpočet'!D8</f>
        <v> </v>
      </c>
      <c r="D10" s="66"/>
      <c r="E10" s="69" t="s">
        <v>94</v>
      </c>
      <c r="F10" s="69" t="str">
        <f>'Stavební rozpočet'!J8</f>
        <v> </v>
      </c>
      <c r="G10" s="66"/>
      <c r="H10" s="66" t="s">
        <v>128</v>
      </c>
      <c r="I10" s="88" t="str">
        <f>'Stavební rozpočet'!H8</f>
        <v>25.03.2024</v>
      </c>
    </row>
    <row r="11" spans="1:9" ht="15" customHeight="1">
      <c r="A11" s="85"/>
      <c r="B11" s="83"/>
      <c r="C11" s="83"/>
      <c r="D11" s="83"/>
      <c r="E11" s="83"/>
      <c r="F11" s="83"/>
      <c r="G11" s="83"/>
      <c r="H11" s="83"/>
      <c r="I11" s="89"/>
    </row>
    <row r="12" spans="1:9" ht="22.5" customHeight="1">
      <c r="A12" s="90" t="s">
        <v>27</v>
      </c>
      <c r="B12" s="90"/>
      <c r="C12" s="90"/>
      <c r="D12" s="90"/>
      <c r="E12" s="90"/>
      <c r="F12" s="90"/>
      <c r="G12" s="90"/>
      <c r="H12" s="90"/>
      <c r="I12" s="90"/>
    </row>
    <row r="13" spans="1:9" ht="26.25" customHeight="1">
      <c r="A13" s="49" t="s">
        <v>122</v>
      </c>
      <c r="B13" s="93" t="s">
        <v>21</v>
      </c>
      <c r="C13" s="94"/>
      <c r="D13" s="48" t="s">
        <v>28</v>
      </c>
      <c r="E13" s="93" t="s">
        <v>53</v>
      </c>
      <c r="F13" s="94"/>
      <c r="G13" s="48" t="s">
        <v>89</v>
      </c>
      <c r="H13" s="93" t="s">
        <v>29</v>
      </c>
      <c r="I13" s="94"/>
    </row>
    <row r="14" spans="1:9" ht="15" customHeight="1">
      <c r="A14" s="55" t="s">
        <v>55</v>
      </c>
      <c r="B14" s="18" t="s">
        <v>36</v>
      </c>
      <c r="C14" s="43">
        <f>SUM('Stavební rozpočet'!AB12:AB29)</f>
        <v>0</v>
      </c>
      <c r="D14" s="101" t="s">
        <v>101</v>
      </c>
      <c r="E14" s="102"/>
      <c r="F14" s="43">
        <f>VORN!I15</f>
        <v>0</v>
      </c>
      <c r="G14" s="101" t="s">
        <v>17</v>
      </c>
      <c r="H14" s="102"/>
      <c r="I14" s="43">
        <f>VORN!I21</f>
        <v>0</v>
      </c>
    </row>
    <row r="15" spans="1:9" ht="15" customHeight="1">
      <c r="A15" s="39" t="s">
        <v>99</v>
      </c>
      <c r="B15" s="18" t="s">
        <v>30</v>
      </c>
      <c r="C15" s="43">
        <f>SUM('Stavební rozpočet'!AC12:AC29)</f>
        <v>0</v>
      </c>
      <c r="D15" s="101" t="s">
        <v>15</v>
      </c>
      <c r="E15" s="102"/>
      <c r="F15" s="43">
        <f>VORN!I16</f>
        <v>0</v>
      </c>
      <c r="G15" s="101" t="s">
        <v>112</v>
      </c>
      <c r="H15" s="102"/>
      <c r="I15" s="43">
        <f>VORN!I22</f>
        <v>0</v>
      </c>
    </row>
    <row r="16" spans="1:9" ht="15" customHeight="1">
      <c r="A16" s="55" t="s">
        <v>14</v>
      </c>
      <c r="B16" s="18" t="s">
        <v>36</v>
      </c>
      <c r="C16" s="43">
        <f>SUM('Stavební rozpočet'!AD12:AD29)</f>
        <v>0</v>
      </c>
      <c r="D16" s="101" t="s">
        <v>103</v>
      </c>
      <c r="E16" s="102"/>
      <c r="F16" s="43">
        <f>VORN!I17</f>
        <v>0</v>
      </c>
      <c r="G16" s="101" t="s">
        <v>127</v>
      </c>
      <c r="H16" s="102"/>
      <c r="I16" s="43">
        <f>VORN!I23</f>
        <v>0</v>
      </c>
    </row>
    <row r="17" spans="1:9" ht="15" customHeight="1">
      <c r="A17" s="39" t="s">
        <v>99</v>
      </c>
      <c r="B17" s="18" t="s">
        <v>30</v>
      </c>
      <c r="C17" s="43">
        <f>SUM('Stavební rozpočet'!AE12:AE29)</f>
        <v>0</v>
      </c>
      <c r="D17" s="101" t="s">
        <v>99</v>
      </c>
      <c r="E17" s="102"/>
      <c r="F17" s="11" t="s">
        <v>99</v>
      </c>
      <c r="G17" s="101" t="s">
        <v>72</v>
      </c>
      <c r="H17" s="102"/>
      <c r="I17" s="43">
        <f>VORN!I24</f>
        <v>0</v>
      </c>
    </row>
    <row r="18" spans="1:9" ht="15" customHeight="1">
      <c r="A18" s="55" t="s">
        <v>41</v>
      </c>
      <c r="B18" s="18" t="s">
        <v>36</v>
      </c>
      <c r="C18" s="43">
        <f>SUM('Stavební rozpočet'!AF12:AF29)</f>
        <v>0</v>
      </c>
      <c r="D18" s="101" t="s">
        <v>99</v>
      </c>
      <c r="E18" s="102"/>
      <c r="F18" s="11" t="s">
        <v>99</v>
      </c>
      <c r="G18" s="101" t="s">
        <v>93</v>
      </c>
      <c r="H18" s="102"/>
      <c r="I18" s="43">
        <f>VORN!I25</f>
        <v>0</v>
      </c>
    </row>
    <row r="19" spans="1:9" ht="15" customHeight="1">
      <c r="A19" s="39" t="s">
        <v>99</v>
      </c>
      <c r="B19" s="18" t="s">
        <v>30</v>
      </c>
      <c r="C19" s="43">
        <f>SUM('Stavební rozpočet'!AG12:AG29)</f>
        <v>0</v>
      </c>
      <c r="D19" s="101" t="s">
        <v>99</v>
      </c>
      <c r="E19" s="102"/>
      <c r="F19" s="11" t="s">
        <v>99</v>
      </c>
      <c r="G19" s="101" t="s">
        <v>131</v>
      </c>
      <c r="H19" s="102"/>
      <c r="I19" s="43">
        <f>VORN!I26</f>
        <v>0</v>
      </c>
    </row>
    <row r="20" spans="1:9" ht="15" customHeight="1">
      <c r="A20" s="95" t="s">
        <v>10</v>
      </c>
      <c r="B20" s="96"/>
      <c r="C20" s="43">
        <f>SUM('Stavební rozpočet'!AH12:AH29)</f>
        <v>0</v>
      </c>
      <c r="D20" s="101" t="s">
        <v>99</v>
      </c>
      <c r="E20" s="102"/>
      <c r="F20" s="11" t="s">
        <v>99</v>
      </c>
      <c r="G20" s="101" t="s">
        <v>99</v>
      </c>
      <c r="H20" s="102"/>
      <c r="I20" s="11" t="s">
        <v>99</v>
      </c>
    </row>
    <row r="21" spans="1:9" ht="15" customHeight="1">
      <c r="A21" s="97" t="s">
        <v>130</v>
      </c>
      <c r="B21" s="98"/>
      <c r="C21" s="13">
        <f>SUM('Stavební rozpočet'!Z12:Z29)</f>
        <v>0</v>
      </c>
      <c r="D21" s="103" t="s">
        <v>99</v>
      </c>
      <c r="E21" s="104"/>
      <c r="F21" s="3" t="s">
        <v>99</v>
      </c>
      <c r="G21" s="103" t="s">
        <v>99</v>
      </c>
      <c r="H21" s="104"/>
      <c r="I21" s="3" t="s">
        <v>99</v>
      </c>
    </row>
    <row r="22" spans="1:9" ht="16.5" customHeight="1">
      <c r="A22" s="99" t="s">
        <v>32</v>
      </c>
      <c r="B22" s="100"/>
      <c r="C22" s="29">
        <f>SUM(C14:C21)</f>
        <v>0</v>
      </c>
      <c r="D22" s="105" t="s">
        <v>70</v>
      </c>
      <c r="E22" s="100"/>
      <c r="F22" s="29">
        <f>SUM(F14:F21)</f>
        <v>0</v>
      </c>
      <c r="G22" s="105" t="s">
        <v>136</v>
      </c>
      <c r="H22" s="100"/>
      <c r="I22" s="29">
        <f>SUM(I14:I21)</f>
        <v>0</v>
      </c>
    </row>
    <row r="23" spans="4:9" ht="15" customHeight="1">
      <c r="D23" s="95" t="s">
        <v>113</v>
      </c>
      <c r="E23" s="96"/>
      <c r="F23" s="37">
        <v>0</v>
      </c>
      <c r="G23" s="106" t="s">
        <v>6</v>
      </c>
      <c r="H23" s="96"/>
      <c r="I23" s="43">
        <v>0</v>
      </c>
    </row>
    <row r="24" spans="7:9" ht="15" customHeight="1">
      <c r="G24" s="95" t="s">
        <v>80</v>
      </c>
      <c r="H24" s="96"/>
      <c r="I24" s="43">
        <f>vorn_sum</f>
        <v>0</v>
      </c>
    </row>
    <row r="25" spans="7:9" ht="15" customHeight="1">
      <c r="G25" s="95" t="s">
        <v>42</v>
      </c>
      <c r="H25" s="96"/>
      <c r="I25" s="43">
        <v>0</v>
      </c>
    </row>
    <row r="27" spans="1:3" ht="15" customHeight="1">
      <c r="A27" s="107" t="s">
        <v>61</v>
      </c>
      <c r="B27" s="108"/>
      <c r="C27" s="38">
        <f>SUM('Stavební rozpočet'!AJ12:AJ29)</f>
        <v>0</v>
      </c>
    </row>
    <row r="28" spans="1:9" ht="15" customHeight="1">
      <c r="A28" s="109" t="s">
        <v>155</v>
      </c>
      <c r="B28" s="110"/>
      <c r="C28" s="25">
        <v>0</v>
      </c>
      <c r="D28" s="108" t="s">
        <v>156</v>
      </c>
      <c r="E28" s="108"/>
      <c r="F28" s="38">
        <f>ROUND(C28*(12/100),2)</f>
        <v>0</v>
      </c>
      <c r="G28" s="108" t="s">
        <v>23</v>
      </c>
      <c r="H28" s="108"/>
      <c r="I28" s="38">
        <f>SUM(C27:C29)</f>
        <v>0</v>
      </c>
    </row>
    <row r="29" spans="1:9" ht="15" customHeight="1">
      <c r="A29" s="109" t="s">
        <v>4</v>
      </c>
      <c r="B29" s="110"/>
      <c r="C29" s="25">
        <f>SUM('Stavební rozpočet'!AK13:AK30)+(F23+I23+F24+I24+I25+I26)</f>
        <v>0</v>
      </c>
      <c r="D29" s="110" t="s">
        <v>105</v>
      </c>
      <c r="E29" s="110"/>
      <c r="F29" s="25">
        <f>ROUND(C29*(21/100),2)</f>
        <v>0</v>
      </c>
      <c r="G29" s="110" t="s">
        <v>59</v>
      </c>
      <c r="H29" s="110"/>
      <c r="I29" s="25">
        <f>SUM(F28:F29)+I28</f>
        <v>0</v>
      </c>
    </row>
    <row r="31" spans="1:9" ht="15" customHeight="1">
      <c r="A31" s="117" t="s">
        <v>1</v>
      </c>
      <c r="B31" s="114"/>
      <c r="C31" s="115"/>
      <c r="D31" s="114" t="s">
        <v>125</v>
      </c>
      <c r="E31" s="114"/>
      <c r="F31" s="115"/>
      <c r="G31" s="114" t="s">
        <v>95</v>
      </c>
      <c r="H31" s="114"/>
      <c r="I31" s="115"/>
    </row>
    <row r="32" spans="1:9" ht="15" customHeight="1">
      <c r="A32" s="118" t="s">
        <v>99</v>
      </c>
      <c r="B32" s="103"/>
      <c r="C32" s="116"/>
      <c r="D32" s="103" t="s">
        <v>99</v>
      </c>
      <c r="E32" s="103"/>
      <c r="F32" s="116"/>
      <c r="G32" s="103" t="s">
        <v>99</v>
      </c>
      <c r="H32" s="103"/>
      <c r="I32" s="116"/>
    </row>
    <row r="33" spans="1:9" ht="15" customHeight="1">
      <c r="A33" s="118" t="s">
        <v>99</v>
      </c>
      <c r="B33" s="103"/>
      <c r="C33" s="116"/>
      <c r="D33" s="103" t="s">
        <v>99</v>
      </c>
      <c r="E33" s="103"/>
      <c r="F33" s="116"/>
      <c r="G33" s="103" t="s">
        <v>99</v>
      </c>
      <c r="H33" s="103"/>
      <c r="I33" s="116"/>
    </row>
    <row r="34" spans="1:9" ht="15" customHeight="1">
      <c r="A34" s="118" t="s">
        <v>99</v>
      </c>
      <c r="B34" s="103"/>
      <c r="C34" s="116"/>
      <c r="D34" s="103" t="s">
        <v>99</v>
      </c>
      <c r="E34" s="103"/>
      <c r="F34" s="116"/>
      <c r="G34" s="103" t="s">
        <v>99</v>
      </c>
      <c r="H34" s="103"/>
      <c r="I34" s="116"/>
    </row>
    <row r="35" spans="1:9" ht="15" customHeight="1">
      <c r="A35" s="111" t="s">
        <v>31</v>
      </c>
      <c r="B35" s="112"/>
      <c r="C35" s="113"/>
      <c r="D35" s="112" t="s">
        <v>31</v>
      </c>
      <c r="E35" s="112"/>
      <c r="F35" s="113"/>
      <c r="G35" s="112" t="s">
        <v>31</v>
      </c>
      <c r="H35" s="112"/>
      <c r="I35" s="113"/>
    </row>
    <row r="36" ht="15" customHeight="1">
      <c r="A36" s="12" t="s">
        <v>12</v>
      </c>
    </row>
    <row r="37" spans="1:9" ht="12.75" customHeight="1">
      <c r="A37" s="69" t="s">
        <v>99</v>
      </c>
      <c r="B37" s="66"/>
      <c r="C37" s="66"/>
      <c r="D37" s="66"/>
      <c r="E37" s="66"/>
      <c r="F37" s="66"/>
      <c r="G37" s="66"/>
      <c r="H37" s="66"/>
      <c r="I37" s="66"/>
    </row>
  </sheetData>
  <sheetProtection password="CC09" sheet="1"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OutlineSymbols="0" zoomScalePageLayoutView="0" workbookViewId="0" topLeftCell="A1">
      <selection activeCell="A36" sqref="A36:E36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26.66015625" style="0" customWidth="1"/>
    <col min="4" max="4" width="11.66015625" style="0" customWidth="1"/>
    <col min="5" max="5" width="16.33203125" style="0" customWidth="1"/>
    <col min="6" max="6" width="26.66015625" style="0" customWidth="1"/>
    <col min="7" max="7" width="10.66015625" style="0" customWidth="1"/>
    <col min="8" max="8" width="20" style="0" customWidth="1"/>
    <col min="9" max="9" width="26.66015625" style="0" customWidth="1"/>
  </cols>
  <sheetData>
    <row r="1" spans="1:9" ht="54.75" customHeight="1">
      <c r="A1" s="84" t="s">
        <v>24</v>
      </c>
      <c r="B1" s="62"/>
      <c r="C1" s="62"/>
      <c r="D1" s="62"/>
      <c r="E1" s="62"/>
      <c r="F1" s="62"/>
      <c r="G1" s="62"/>
      <c r="H1" s="62"/>
      <c r="I1" s="62"/>
    </row>
    <row r="2" spans="1:9" ht="15" customHeight="1">
      <c r="A2" s="63" t="s">
        <v>9</v>
      </c>
      <c r="B2" s="64"/>
      <c r="C2" s="74" t="str">
        <f>'Stavební rozpočet'!D2</f>
        <v>VÝMALBA MŠ POHÁDKA</v>
      </c>
      <c r="D2" s="75"/>
      <c r="E2" s="68" t="s">
        <v>115</v>
      </c>
      <c r="F2" s="68" t="str">
        <f>'Stavební rozpočet'!J2</f>
        <v> </v>
      </c>
      <c r="G2" s="64"/>
      <c r="H2" s="68" t="s">
        <v>91</v>
      </c>
      <c r="I2" s="70" t="s">
        <v>99</v>
      </c>
    </row>
    <row r="3" spans="1:9" ht="15" customHeight="1">
      <c r="A3" s="65"/>
      <c r="B3" s="66"/>
      <c r="C3" s="76"/>
      <c r="D3" s="76"/>
      <c r="E3" s="66"/>
      <c r="F3" s="66"/>
      <c r="G3" s="66"/>
      <c r="H3" s="66"/>
      <c r="I3" s="71"/>
    </row>
    <row r="4" spans="1:9" ht="15" customHeight="1">
      <c r="A4" s="67" t="s">
        <v>76</v>
      </c>
      <c r="B4" s="66"/>
      <c r="C4" s="69" t="str">
        <f>'Stavební rozpočet'!D4</f>
        <v> </v>
      </c>
      <c r="D4" s="66"/>
      <c r="E4" s="69" t="s">
        <v>98</v>
      </c>
      <c r="F4" s="69" t="str">
        <f>'Stavební rozpočet'!J4</f>
        <v> </v>
      </c>
      <c r="G4" s="66"/>
      <c r="H4" s="69" t="s">
        <v>91</v>
      </c>
      <c r="I4" s="71" t="s">
        <v>99</v>
      </c>
    </row>
    <row r="5" spans="1:9" ht="15" customHeight="1">
      <c r="A5" s="65"/>
      <c r="B5" s="66"/>
      <c r="C5" s="66"/>
      <c r="D5" s="66"/>
      <c r="E5" s="66"/>
      <c r="F5" s="66"/>
      <c r="G5" s="66"/>
      <c r="H5" s="66"/>
      <c r="I5" s="71"/>
    </row>
    <row r="6" spans="1:9" ht="15" customHeight="1">
      <c r="A6" s="67" t="s">
        <v>13</v>
      </c>
      <c r="B6" s="66"/>
      <c r="C6" s="69" t="str">
        <f>'Stavební rozpočet'!D6</f>
        <v>Bezručova 323/7, 400 01 Ústí nad Labem</v>
      </c>
      <c r="D6" s="66"/>
      <c r="E6" s="69" t="s">
        <v>118</v>
      </c>
      <c r="F6" s="69" t="str">
        <f>'Stavební rozpočet'!J6</f>
        <v> </v>
      </c>
      <c r="G6" s="66"/>
      <c r="H6" s="69" t="s">
        <v>91</v>
      </c>
      <c r="I6" s="71" t="s">
        <v>99</v>
      </c>
    </row>
    <row r="7" spans="1:9" ht="15" customHeight="1">
      <c r="A7" s="65"/>
      <c r="B7" s="66"/>
      <c r="C7" s="66"/>
      <c r="D7" s="66"/>
      <c r="E7" s="66"/>
      <c r="F7" s="66"/>
      <c r="G7" s="66"/>
      <c r="H7" s="66"/>
      <c r="I7" s="71"/>
    </row>
    <row r="8" spans="1:9" ht="15" customHeight="1">
      <c r="A8" s="67" t="s">
        <v>121</v>
      </c>
      <c r="B8" s="66"/>
      <c r="C8" s="69">
        <f>'Stavební rozpočet'!H4</f>
        <v>0</v>
      </c>
      <c r="D8" s="66"/>
      <c r="E8" s="69" t="s">
        <v>45</v>
      </c>
      <c r="F8" s="69" t="str">
        <f>'Stavební rozpočet'!H6</f>
        <v> </v>
      </c>
      <c r="G8" s="66"/>
      <c r="H8" s="66" t="s">
        <v>135</v>
      </c>
      <c r="I8" s="87">
        <v>17</v>
      </c>
    </row>
    <row r="9" spans="1:9" ht="15" customHeight="1">
      <c r="A9" s="65"/>
      <c r="B9" s="66"/>
      <c r="C9" s="66"/>
      <c r="D9" s="66"/>
      <c r="E9" s="66"/>
      <c r="F9" s="66"/>
      <c r="G9" s="66"/>
      <c r="H9" s="66"/>
      <c r="I9" s="71"/>
    </row>
    <row r="10" spans="1:9" ht="15" customHeight="1">
      <c r="A10" s="67" t="s">
        <v>68</v>
      </c>
      <c r="B10" s="66"/>
      <c r="C10" s="69" t="str">
        <f>'Stavební rozpočet'!D8</f>
        <v> </v>
      </c>
      <c r="D10" s="66"/>
      <c r="E10" s="69" t="s">
        <v>94</v>
      </c>
      <c r="F10" s="69" t="str">
        <f>'Stavební rozpočet'!J8</f>
        <v> </v>
      </c>
      <c r="G10" s="66"/>
      <c r="H10" s="66" t="s">
        <v>128</v>
      </c>
      <c r="I10" s="88" t="str">
        <f>'Stavební rozpočet'!H8</f>
        <v>25.03.2024</v>
      </c>
    </row>
    <row r="11" spans="1:9" ht="15" customHeight="1">
      <c r="A11" s="85"/>
      <c r="B11" s="83"/>
      <c r="C11" s="83"/>
      <c r="D11" s="83"/>
      <c r="E11" s="83"/>
      <c r="F11" s="83"/>
      <c r="G11" s="83"/>
      <c r="H11" s="83"/>
      <c r="I11" s="89"/>
    </row>
    <row r="13" spans="1:5" ht="15.75" customHeight="1">
      <c r="A13" s="119" t="s">
        <v>57</v>
      </c>
      <c r="B13" s="119"/>
      <c r="C13" s="119"/>
      <c r="D13" s="119"/>
      <c r="E13" s="119"/>
    </row>
    <row r="14" spans="1:9" ht="15" customHeight="1">
      <c r="A14" s="120" t="s">
        <v>151</v>
      </c>
      <c r="B14" s="121"/>
      <c r="C14" s="121"/>
      <c r="D14" s="121"/>
      <c r="E14" s="122"/>
      <c r="F14" s="50" t="s">
        <v>141</v>
      </c>
      <c r="G14" s="50" t="s">
        <v>119</v>
      </c>
      <c r="H14" s="50" t="s">
        <v>33</v>
      </c>
      <c r="I14" s="50" t="s">
        <v>141</v>
      </c>
    </row>
    <row r="15" spans="1:9" ht="15" customHeight="1">
      <c r="A15" s="85" t="s">
        <v>101</v>
      </c>
      <c r="B15" s="83"/>
      <c r="C15" s="83"/>
      <c r="D15" s="83"/>
      <c r="E15" s="89"/>
      <c r="F15" s="32">
        <v>0</v>
      </c>
      <c r="G15" s="16" t="s">
        <v>99</v>
      </c>
      <c r="H15" s="16" t="s">
        <v>99</v>
      </c>
      <c r="I15" s="32">
        <f>F15</f>
        <v>0</v>
      </c>
    </row>
    <row r="16" spans="1:9" ht="15" customHeight="1">
      <c r="A16" s="85" t="s">
        <v>15</v>
      </c>
      <c r="B16" s="83"/>
      <c r="C16" s="83"/>
      <c r="D16" s="83"/>
      <c r="E16" s="89"/>
      <c r="F16" s="32">
        <v>0</v>
      </c>
      <c r="G16" s="16" t="s">
        <v>99</v>
      </c>
      <c r="H16" s="16" t="s">
        <v>99</v>
      </c>
      <c r="I16" s="32">
        <f>F16</f>
        <v>0</v>
      </c>
    </row>
    <row r="17" spans="1:9" ht="15" customHeight="1">
      <c r="A17" s="65" t="s">
        <v>103</v>
      </c>
      <c r="B17" s="66"/>
      <c r="C17" s="66"/>
      <c r="D17" s="66"/>
      <c r="E17" s="71"/>
      <c r="F17" s="52">
        <v>0</v>
      </c>
      <c r="G17" s="35" t="s">
        <v>99</v>
      </c>
      <c r="H17" s="35" t="s">
        <v>99</v>
      </c>
      <c r="I17" s="52">
        <f>F17</f>
        <v>0</v>
      </c>
    </row>
    <row r="18" spans="1:9" ht="15" customHeight="1">
      <c r="A18" s="123" t="s">
        <v>147</v>
      </c>
      <c r="B18" s="124"/>
      <c r="C18" s="124"/>
      <c r="D18" s="124"/>
      <c r="E18" s="125"/>
      <c r="F18" s="4" t="s">
        <v>99</v>
      </c>
      <c r="G18" s="7" t="s">
        <v>99</v>
      </c>
      <c r="H18" s="7" t="s">
        <v>99</v>
      </c>
      <c r="I18" s="21">
        <f>SUM(I15:I17)</f>
        <v>0</v>
      </c>
    </row>
    <row r="20" spans="1:9" ht="15" customHeight="1">
      <c r="A20" s="120" t="s">
        <v>29</v>
      </c>
      <c r="B20" s="121"/>
      <c r="C20" s="121"/>
      <c r="D20" s="121"/>
      <c r="E20" s="122"/>
      <c r="F20" s="50" t="s">
        <v>141</v>
      </c>
      <c r="G20" s="50" t="s">
        <v>119</v>
      </c>
      <c r="H20" s="50" t="s">
        <v>33</v>
      </c>
      <c r="I20" s="50" t="s">
        <v>141</v>
      </c>
    </row>
    <row r="21" spans="1:9" ht="15" customHeight="1">
      <c r="A21" s="85" t="s">
        <v>17</v>
      </c>
      <c r="B21" s="83"/>
      <c r="C21" s="83"/>
      <c r="D21" s="83"/>
      <c r="E21" s="89"/>
      <c r="F21" s="32">
        <v>0</v>
      </c>
      <c r="G21" s="16" t="s">
        <v>99</v>
      </c>
      <c r="H21" s="16" t="s">
        <v>99</v>
      </c>
      <c r="I21" s="32">
        <f aca="true" t="shared" si="0" ref="I21:I26">F21</f>
        <v>0</v>
      </c>
    </row>
    <row r="22" spans="1:9" ht="15" customHeight="1">
      <c r="A22" s="85" t="s">
        <v>112</v>
      </c>
      <c r="B22" s="83"/>
      <c r="C22" s="83"/>
      <c r="D22" s="83"/>
      <c r="E22" s="89"/>
      <c r="F22" s="32">
        <v>0</v>
      </c>
      <c r="G22" s="16" t="s">
        <v>99</v>
      </c>
      <c r="H22" s="16" t="s">
        <v>99</v>
      </c>
      <c r="I22" s="32">
        <f t="shared" si="0"/>
        <v>0</v>
      </c>
    </row>
    <row r="23" spans="1:9" ht="15" customHeight="1">
      <c r="A23" s="85" t="s">
        <v>127</v>
      </c>
      <c r="B23" s="83"/>
      <c r="C23" s="83"/>
      <c r="D23" s="83"/>
      <c r="E23" s="89"/>
      <c r="F23" s="32">
        <v>0</v>
      </c>
      <c r="G23" s="16" t="s">
        <v>99</v>
      </c>
      <c r="H23" s="16" t="s">
        <v>99</v>
      </c>
      <c r="I23" s="32">
        <f t="shared" si="0"/>
        <v>0</v>
      </c>
    </row>
    <row r="24" spans="1:9" ht="15" customHeight="1">
      <c r="A24" s="85" t="s">
        <v>72</v>
      </c>
      <c r="B24" s="83"/>
      <c r="C24" s="83"/>
      <c r="D24" s="83"/>
      <c r="E24" s="89"/>
      <c r="F24" s="32">
        <v>0</v>
      </c>
      <c r="G24" s="16" t="s">
        <v>99</v>
      </c>
      <c r="H24" s="16" t="s">
        <v>99</v>
      </c>
      <c r="I24" s="32">
        <f t="shared" si="0"/>
        <v>0</v>
      </c>
    </row>
    <row r="25" spans="1:9" ht="15" customHeight="1">
      <c r="A25" s="85" t="s">
        <v>93</v>
      </c>
      <c r="B25" s="83"/>
      <c r="C25" s="83"/>
      <c r="D25" s="83"/>
      <c r="E25" s="89"/>
      <c r="F25" s="32">
        <v>0</v>
      </c>
      <c r="G25" s="16" t="s">
        <v>99</v>
      </c>
      <c r="H25" s="16" t="s">
        <v>99</v>
      </c>
      <c r="I25" s="32">
        <f t="shared" si="0"/>
        <v>0</v>
      </c>
    </row>
    <row r="26" spans="1:9" ht="15" customHeight="1">
      <c r="A26" s="65" t="s">
        <v>131</v>
      </c>
      <c r="B26" s="66"/>
      <c r="C26" s="66"/>
      <c r="D26" s="66"/>
      <c r="E26" s="71"/>
      <c r="F26" s="52">
        <v>0</v>
      </c>
      <c r="G26" s="35" t="s">
        <v>99</v>
      </c>
      <c r="H26" s="35" t="s">
        <v>99</v>
      </c>
      <c r="I26" s="52">
        <f t="shared" si="0"/>
        <v>0</v>
      </c>
    </row>
    <row r="27" spans="1:9" ht="15" customHeight="1">
      <c r="A27" s="123" t="s">
        <v>60</v>
      </c>
      <c r="B27" s="124"/>
      <c r="C27" s="124"/>
      <c r="D27" s="124"/>
      <c r="E27" s="125"/>
      <c r="F27" s="4" t="s">
        <v>99</v>
      </c>
      <c r="G27" s="7" t="s">
        <v>99</v>
      </c>
      <c r="H27" s="7" t="s">
        <v>99</v>
      </c>
      <c r="I27" s="21">
        <f>SUM(I21:I26)</f>
        <v>0</v>
      </c>
    </row>
    <row r="29" spans="1:9" ht="15.75" customHeight="1">
      <c r="A29" s="126" t="s">
        <v>142</v>
      </c>
      <c r="B29" s="127"/>
      <c r="C29" s="127"/>
      <c r="D29" s="127"/>
      <c r="E29" s="128"/>
      <c r="F29" s="129">
        <f>I18+I27</f>
        <v>0</v>
      </c>
      <c r="G29" s="130"/>
      <c r="H29" s="130"/>
      <c r="I29" s="131"/>
    </row>
    <row r="33" spans="1:5" ht="15.75" customHeight="1">
      <c r="A33" s="119" t="s">
        <v>139</v>
      </c>
      <c r="B33" s="119"/>
      <c r="C33" s="119"/>
      <c r="D33" s="119"/>
      <c r="E33" s="119"/>
    </row>
    <row r="34" spans="1:9" ht="15" customHeight="1">
      <c r="A34" s="120" t="s">
        <v>145</v>
      </c>
      <c r="B34" s="121"/>
      <c r="C34" s="121"/>
      <c r="D34" s="121"/>
      <c r="E34" s="122"/>
      <c r="F34" s="50" t="s">
        <v>141</v>
      </c>
      <c r="G34" s="50" t="s">
        <v>119</v>
      </c>
      <c r="H34" s="50" t="s">
        <v>33</v>
      </c>
      <c r="I34" s="50" t="s">
        <v>141</v>
      </c>
    </row>
    <row r="35" spans="1:9" ht="15" customHeight="1">
      <c r="A35" s="65" t="s">
        <v>99</v>
      </c>
      <c r="B35" s="66"/>
      <c r="C35" s="66"/>
      <c r="D35" s="66"/>
      <c r="E35" s="71"/>
      <c r="F35" s="52">
        <v>0</v>
      </c>
      <c r="G35" s="35" t="s">
        <v>99</v>
      </c>
      <c r="H35" s="35" t="s">
        <v>99</v>
      </c>
      <c r="I35" s="52">
        <f>F35</f>
        <v>0</v>
      </c>
    </row>
    <row r="36" spans="1:9" ht="15" customHeight="1">
      <c r="A36" s="123" t="s">
        <v>52</v>
      </c>
      <c r="B36" s="124"/>
      <c r="C36" s="124"/>
      <c r="D36" s="124"/>
      <c r="E36" s="125"/>
      <c r="F36" s="4" t="s">
        <v>99</v>
      </c>
      <c r="G36" s="7" t="s">
        <v>99</v>
      </c>
      <c r="H36" s="7" t="s">
        <v>99</v>
      </c>
      <c r="I36" s="21">
        <f>SUM(I35:I35)</f>
        <v>0</v>
      </c>
    </row>
  </sheetData>
  <sheetProtection/>
  <mergeCells count="51">
    <mergeCell ref="A34:E34"/>
    <mergeCell ref="A35:E35"/>
    <mergeCell ref="A22:E22"/>
    <mergeCell ref="A23:E23"/>
    <mergeCell ref="A24:E24"/>
    <mergeCell ref="A25:E25"/>
    <mergeCell ref="A26:E26"/>
    <mergeCell ref="A17:E17"/>
    <mergeCell ref="A18:E18"/>
    <mergeCell ref="A20:E20"/>
    <mergeCell ref="A21:E21"/>
    <mergeCell ref="F29:I29"/>
    <mergeCell ref="A33:E33"/>
    <mergeCell ref="A14:E14"/>
    <mergeCell ref="A10:B11"/>
    <mergeCell ref="E8:E9"/>
    <mergeCell ref="C10:D11"/>
    <mergeCell ref="E4:E5"/>
    <mergeCell ref="A36:E36"/>
    <mergeCell ref="A27:E27"/>
    <mergeCell ref="A29:E29"/>
    <mergeCell ref="A15:E15"/>
    <mergeCell ref="A16:E16"/>
    <mergeCell ref="F10:G11"/>
    <mergeCell ref="E10:E11"/>
    <mergeCell ref="H10:H11"/>
    <mergeCell ref="A13:E13"/>
    <mergeCell ref="C2:D3"/>
    <mergeCell ref="C4:D5"/>
    <mergeCell ref="C6:D7"/>
    <mergeCell ref="C8:D9"/>
    <mergeCell ref="A1:I1"/>
    <mergeCell ref="A2:B3"/>
    <mergeCell ref="A4:B5"/>
    <mergeCell ref="A6:B7"/>
    <mergeCell ref="A8:B9"/>
    <mergeCell ref="F6:G7"/>
    <mergeCell ref="I8:I9"/>
    <mergeCell ref="E6:E7"/>
    <mergeCell ref="F2:G3"/>
    <mergeCell ref="F4:G5"/>
    <mergeCell ref="I10:I11"/>
    <mergeCell ref="E2:E3"/>
    <mergeCell ref="F8:G9"/>
    <mergeCell ref="I2:I3"/>
    <mergeCell ref="I4:I5"/>
    <mergeCell ref="I6:I7"/>
    <mergeCell ref="H4:H5"/>
    <mergeCell ref="H6:H7"/>
    <mergeCell ref="H8:H9"/>
    <mergeCell ref="H2:H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Mokrý Tomáš</dc:creator>
  <cp:keywords/>
  <dc:description/>
  <cp:lastModifiedBy>Antošová Kateřina, Mgr.</cp:lastModifiedBy>
  <cp:lastPrinted>2024-06-03T05:39:29Z</cp:lastPrinted>
  <dcterms:created xsi:type="dcterms:W3CDTF">2021-06-10T20:06:38Z</dcterms:created>
  <dcterms:modified xsi:type="dcterms:W3CDTF">2024-06-03T05:39:42Z</dcterms:modified>
  <cp:category/>
  <cp:version/>
  <cp:contentType/>
  <cp:contentStatus/>
</cp:coreProperties>
</file>